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9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0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2.xml" ContentType="application/vnd.openxmlformats-officedocument.drawing+xml"/>
  <Override PartName="/xl/charts/chart29.xml" ContentType="application/vnd.openxmlformats-officedocument.drawingml.chart+xml"/>
  <Override PartName="/xl/drawings/drawing13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4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5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16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7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8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19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20.xml" ContentType="application/vnd.openxmlformats-officedocument.drawing+xml"/>
  <Override PartName="/xl/charts/chart48.xml" ContentType="application/vnd.openxmlformats-officedocument.drawingml.chart+xml"/>
  <Override PartName="/xl/drawings/drawing21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22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23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38800" yWindow="2380" windowWidth="36900" windowHeight="20480" tabRatio="500" activeTab="6"/>
  </bookViews>
  <sheets>
    <sheet name="Steuerung" sheetId="1" r:id="rId1"/>
    <sheet name="Steuerung_2" sheetId="31" r:id="rId2"/>
    <sheet name="Regelung" sheetId="2" r:id="rId3"/>
    <sheet name="Regelung_2" sheetId="32" r:id="rId4"/>
    <sheet name="Zustandsmodell" sheetId="3" r:id="rId5"/>
    <sheet name="Zustandsregler" sheetId="7" r:id="rId6"/>
    <sheet name="Zustandsregler mit Störgröße" sheetId="8" r:id="rId7"/>
    <sheet name="Zustandsregler mit I_Regler" sheetId="9" r:id="rId8"/>
    <sheet name="Zustandsregler_optimal" sheetId="12" r:id="rId9"/>
    <sheet name="Z-Regler" sheetId="15" r:id="rId10"/>
    <sheet name="Aufgabe 6.1" sheetId="16" r:id="rId11"/>
    <sheet name="Aufgabe 6.2" sheetId="17" r:id="rId12"/>
    <sheet name="Aufgabe 6.3" sheetId="18" r:id="rId13"/>
    <sheet name="Aufgabe 6.5" sheetId="20" r:id="rId14"/>
    <sheet name="Aufgabe 6.6" sheetId="21" r:id="rId15"/>
    <sheet name="Aufgabe 6.6P" sheetId="24" r:id="rId16"/>
    <sheet name="Aufgabe 6.7" sheetId="22" r:id="rId17"/>
    <sheet name="Aufgabe 6.9" sheetId="23" r:id="rId18"/>
    <sheet name="Aufgabe 6.18a" sheetId="26" r:id="rId19"/>
    <sheet name="Aufgabe 6.17" sheetId="27" r:id="rId20"/>
    <sheet name="Aufgabe 6.18b" sheetId="25" r:id="rId21"/>
    <sheet name="Aufgabe 6.19a" sheetId="28" r:id="rId22"/>
    <sheet name="Aufgabe 6.19b" sheetId="30" r:id="rId2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4" i="8" l="1"/>
  <c r="E15" i="8"/>
  <c r="I15" i="8"/>
  <c r="K15" i="8"/>
  <c r="J15" i="8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R39" i="32"/>
  <c r="R40" i="32"/>
  <c r="R41" i="32"/>
  <c r="R42" i="32"/>
  <c r="R43" i="32"/>
  <c r="R44" i="32"/>
  <c r="R45" i="32"/>
  <c r="R46" i="32"/>
  <c r="R47" i="32"/>
  <c r="R48" i="32"/>
  <c r="R49" i="32"/>
  <c r="R50" i="32"/>
  <c r="R51" i="32"/>
  <c r="R52" i="32"/>
  <c r="R53" i="32"/>
  <c r="R54" i="32"/>
  <c r="R55" i="32"/>
  <c r="R56" i="32"/>
  <c r="R57" i="32"/>
  <c r="R58" i="32"/>
  <c r="R59" i="32"/>
  <c r="R60" i="32"/>
  <c r="R61" i="32"/>
  <c r="R62" i="32"/>
  <c r="R63" i="32"/>
  <c r="R64" i="32"/>
  <c r="R65" i="32"/>
  <c r="R66" i="32"/>
  <c r="R67" i="32"/>
  <c r="R68" i="32"/>
  <c r="R69" i="32"/>
  <c r="R70" i="32"/>
  <c r="R71" i="32"/>
  <c r="R72" i="32"/>
  <c r="R73" i="32"/>
  <c r="R74" i="32"/>
  <c r="R75" i="32"/>
  <c r="R76" i="32"/>
  <c r="R77" i="32"/>
  <c r="R78" i="32"/>
  <c r="R79" i="32"/>
  <c r="R80" i="32"/>
  <c r="R81" i="32"/>
  <c r="R82" i="32"/>
  <c r="R83" i="32"/>
  <c r="R84" i="32"/>
  <c r="R85" i="32"/>
  <c r="R86" i="32"/>
  <c r="R87" i="32"/>
  <c r="R88" i="32"/>
  <c r="R89" i="32"/>
  <c r="R90" i="32"/>
  <c r="R91" i="32"/>
  <c r="R92" i="32"/>
  <c r="R93" i="32"/>
  <c r="R94" i="32"/>
  <c r="R95" i="32"/>
  <c r="R96" i="32"/>
  <c r="R97" i="32"/>
  <c r="R98" i="32"/>
  <c r="R99" i="32"/>
  <c r="R100" i="32"/>
  <c r="R101" i="32"/>
  <c r="R102" i="32"/>
  <c r="R103" i="32"/>
  <c r="R104" i="32"/>
  <c r="R105" i="32"/>
  <c r="R106" i="32"/>
  <c r="R107" i="32"/>
  <c r="R108" i="32"/>
  <c r="R109" i="32"/>
  <c r="R110" i="32"/>
  <c r="R111" i="32"/>
  <c r="R112" i="32"/>
  <c r="R113" i="32"/>
  <c r="R13" i="32"/>
  <c r="E13" i="32"/>
  <c r="I3" i="32"/>
  <c r="I6" i="32"/>
  <c r="I4" i="32"/>
  <c r="I2" i="32"/>
  <c r="I7" i="32"/>
  <c r="L6" i="32"/>
  <c r="L7" i="32"/>
  <c r="P6" i="32"/>
  <c r="C13" i="32"/>
  <c r="P7" i="32"/>
  <c r="P8" i="32"/>
  <c r="E14" i="32"/>
  <c r="F14" i="32"/>
  <c r="D14" i="32"/>
  <c r="P14" i="32"/>
  <c r="Q14" i="32"/>
  <c r="N14" i="32"/>
  <c r="C14" i="32"/>
  <c r="E15" i="32"/>
  <c r="F15" i="32"/>
  <c r="D15" i="32"/>
  <c r="P15" i="32"/>
  <c r="Q15" i="32"/>
  <c r="N15" i="32"/>
  <c r="C15" i="32"/>
  <c r="E16" i="32"/>
  <c r="F16" i="32"/>
  <c r="D16" i="32"/>
  <c r="P16" i="32"/>
  <c r="Q16" i="32"/>
  <c r="N16" i="32"/>
  <c r="C16" i="32"/>
  <c r="E17" i="32"/>
  <c r="F17" i="32"/>
  <c r="D17" i="32"/>
  <c r="P17" i="32"/>
  <c r="Q17" i="32"/>
  <c r="N17" i="32"/>
  <c r="C17" i="32"/>
  <c r="E18" i="32"/>
  <c r="F18" i="32"/>
  <c r="D18" i="32"/>
  <c r="P18" i="32"/>
  <c r="Q18" i="32"/>
  <c r="N18" i="32"/>
  <c r="C18" i="32"/>
  <c r="E19" i="32"/>
  <c r="F19" i="32"/>
  <c r="D19" i="32"/>
  <c r="P19" i="32"/>
  <c r="Q19" i="32"/>
  <c r="N19" i="32"/>
  <c r="C19" i="32"/>
  <c r="E20" i="32"/>
  <c r="F20" i="32"/>
  <c r="D20" i="32"/>
  <c r="P20" i="32"/>
  <c r="Q20" i="32"/>
  <c r="N20" i="32"/>
  <c r="C20" i="32"/>
  <c r="E21" i="32"/>
  <c r="F21" i="32"/>
  <c r="D21" i="32"/>
  <c r="P21" i="32"/>
  <c r="Q21" i="32"/>
  <c r="N21" i="32"/>
  <c r="C21" i="32"/>
  <c r="E22" i="32"/>
  <c r="F22" i="32"/>
  <c r="D22" i="32"/>
  <c r="P22" i="32"/>
  <c r="Q22" i="32"/>
  <c r="N22" i="32"/>
  <c r="C22" i="32"/>
  <c r="E23" i="32"/>
  <c r="F23" i="32"/>
  <c r="D23" i="32"/>
  <c r="P23" i="32"/>
  <c r="Q23" i="32"/>
  <c r="N23" i="32"/>
  <c r="C23" i="32"/>
  <c r="E24" i="32"/>
  <c r="F24" i="32"/>
  <c r="D24" i="32"/>
  <c r="P24" i="32"/>
  <c r="Q24" i="32"/>
  <c r="N24" i="32"/>
  <c r="C24" i="32"/>
  <c r="E25" i="32"/>
  <c r="F25" i="32"/>
  <c r="D25" i="32"/>
  <c r="P25" i="32"/>
  <c r="Q25" i="32"/>
  <c r="N25" i="32"/>
  <c r="C25" i="32"/>
  <c r="E26" i="32"/>
  <c r="F26" i="32"/>
  <c r="D26" i="32"/>
  <c r="P26" i="32"/>
  <c r="Q26" i="32"/>
  <c r="N26" i="32"/>
  <c r="C26" i="32"/>
  <c r="E27" i="32"/>
  <c r="F27" i="32"/>
  <c r="D27" i="32"/>
  <c r="P27" i="32"/>
  <c r="Q27" i="32"/>
  <c r="N27" i="32"/>
  <c r="C27" i="32"/>
  <c r="E28" i="32"/>
  <c r="F28" i="32"/>
  <c r="D28" i="32"/>
  <c r="P28" i="32"/>
  <c r="Q28" i="32"/>
  <c r="N28" i="32"/>
  <c r="C28" i="32"/>
  <c r="E29" i="32"/>
  <c r="F29" i="32"/>
  <c r="D29" i="32"/>
  <c r="P29" i="32"/>
  <c r="Q29" i="32"/>
  <c r="N29" i="32"/>
  <c r="C29" i="32"/>
  <c r="E30" i="32"/>
  <c r="F30" i="32"/>
  <c r="D30" i="32"/>
  <c r="P30" i="32"/>
  <c r="Q30" i="32"/>
  <c r="N30" i="32"/>
  <c r="C30" i="32"/>
  <c r="E31" i="32"/>
  <c r="F31" i="32"/>
  <c r="D31" i="32"/>
  <c r="P31" i="32"/>
  <c r="Q31" i="32"/>
  <c r="N31" i="32"/>
  <c r="C31" i="32"/>
  <c r="E32" i="32"/>
  <c r="F32" i="32"/>
  <c r="D32" i="32"/>
  <c r="P32" i="32"/>
  <c r="Q32" i="32"/>
  <c r="N32" i="32"/>
  <c r="C32" i="32"/>
  <c r="E33" i="32"/>
  <c r="F33" i="32"/>
  <c r="D33" i="32"/>
  <c r="P33" i="32"/>
  <c r="Q33" i="32"/>
  <c r="N33" i="32"/>
  <c r="C33" i="32"/>
  <c r="E34" i="32"/>
  <c r="F34" i="32"/>
  <c r="D34" i="32"/>
  <c r="P34" i="32"/>
  <c r="Q34" i="32"/>
  <c r="N34" i="32"/>
  <c r="C34" i="32"/>
  <c r="E35" i="32"/>
  <c r="F35" i="32"/>
  <c r="D35" i="32"/>
  <c r="P35" i="32"/>
  <c r="Q35" i="32"/>
  <c r="N35" i="32"/>
  <c r="C35" i="32"/>
  <c r="E36" i="32"/>
  <c r="F36" i="32"/>
  <c r="D36" i="32"/>
  <c r="P36" i="32"/>
  <c r="Q36" i="32"/>
  <c r="N36" i="32"/>
  <c r="C36" i="32"/>
  <c r="E37" i="32"/>
  <c r="F37" i="32"/>
  <c r="D37" i="32"/>
  <c r="P37" i="32"/>
  <c r="Q37" i="32"/>
  <c r="N37" i="32"/>
  <c r="C37" i="32"/>
  <c r="E38" i="32"/>
  <c r="F38" i="32"/>
  <c r="D38" i="32"/>
  <c r="P38" i="32"/>
  <c r="Q38" i="32"/>
  <c r="N38" i="32"/>
  <c r="C38" i="32"/>
  <c r="E39" i="32"/>
  <c r="F39" i="32"/>
  <c r="D39" i="32"/>
  <c r="P39" i="32"/>
  <c r="Q39" i="32"/>
  <c r="N39" i="32"/>
  <c r="C39" i="32"/>
  <c r="E40" i="32"/>
  <c r="F40" i="32"/>
  <c r="D40" i="32"/>
  <c r="P40" i="32"/>
  <c r="Q40" i="32"/>
  <c r="N40" i="32"/>
  <c r="C40" i="32"/>
  <c r="E41" i="32"/>
  <c r="F41" i="32"/>
  <c r="D41" i="32"/>
  <c r="P41" i="32"/>
  <c r="Q41" i="32"/>
  <c r="N41" i="32"/>
  <c r="C41" i="32"/>
  <c r="E42" i="32"/>
  <c r="F42" i="32"/>
  <c r="D42" i="32"/>
  <c r="P42" i="32"/>
  <c r="Q42" i="32"/>
  <c r="N42" i="32"/>
  <c r="C42" i="32"/>
  <c r="E43" i="32"/>
  <c r="F43" i="32"/>
  <c r="D43" i="32"/>
  <c r="P43" i="32"/>
  <c r="Q43" i="32"/>
  <c r="N43" i="32"/>
  <c r="C43" i="32"/>
  <c r="E44" i="32"/>
  <c r="F44" i="32"/>
  <c r="D44" i="32"/>
  <c r="P44" i="32"/>
  <c r="Q44" i="32"/>
  <c r="N44" i="32"/>
  <c r="C44" i="32"/>
  <c r="E45" i="32"/>
  <c r="F45" i="32"/>
  <c r="D45" i="32"/>
  <c r="P45" i="32"/>
  <c r="Q45" i="32"/>
  <c r="N45" i="32"/>
  <c r="C45" i="32"/>
  <c r="E46" i="32"/>
  <c r="F46" i="32"/>
  <c r="D46" i="32"/>
  <c r="P46" i="32"/>
  <c r="Q46" i="32"/>
  <c r="N46" i="32"/>
  <c r="C46" i="32"/>
  <c r="E47" i="32"/>
  <c r="F47" i="32"/>
  <c r="D47" i="32"/>
  <c r="P47" i="32"/>
  <c r="Q47" i="32"/>
  <c r="N47" i="32"/>
  <c r="C47" i="32"/>
  <c r="E48" i="32"/>
  <c r="F48" i="32"/>
  <c r="D48" i="32"/>
  <c r="P48" i="32"/>
  <c r="Q48" i="32"/>
  <c r="N48" i="32"/>
  <c r="C48" i="32"/>
  <c r="E49" i="32"/>
  <c r="F49" i="32"/>
  <c r="D49" i="32"/>
  <c r="P49" i="32"/>
  <c r="Q49" i="32"/>
  <c r="N49" i="32"/>
  <c r="C49" i="32"/>
  <c r="E50" i="32"/>
  <c r="F50" i="32"/>
  <c r="D50" i="32"/>
  <c r="P50" i="32"/>
  <c r="Q50" i="32"/>
  <c r="N50" i="32"/>
  <c r="C50" i="32"/>
  <c r="E51" i="32"/>
  <c r="F51" i="32"/>
  <c r="D51" i="32"/>
  <c r="P51" i="32"/>
  <c r="Q51" i="32"/>
  <c r="N51" i="32"/>
  <c r="C51" i="32"/>
  <c r="E52" i="32"/>
  <c r="F52" i="32"/>
  <c r="D52" i="32"/>
  <c r="P52" i="32"/>
  <c r="Q52" i="32"/>
  <c r="N52" i="32"/>
  <c r="C52" i="32"/>
  <c r="E53" i="32"/>
  <c r="F53" i="32"/>
  <c r="D53" i="32"/>
  <c r="P53" i="32"/>
  <c r="Q53" i="32"/>
  <c r="N53" i="32"/>
  <c r="C53" i="32"/>
  <c r="E54" i="32"/>
  <c r="F54" i="32"/>
  <c r="D54" i="32"/>
  <c r="P54" i="32"/>
  <c r="Q54" i="32"/>
  <c r="N54" i="32"/>
  <c r="C54" i="32"/>
  <c r="E55" i="32"/>
  <c r="F55" i="32"/>
  <c r="D55" i="32"/>
  <c r="P55" i="32"/>
  <c r="Q55" i="32"/>
  <c r="N55" i="32"/>
  <c r="C55" i="32"/>
  <c r="E56" i="32"/>
  <c r="F56" i="32"/>
  <c r="D56" i="32"/>
  <c r="P56" i="32"/>
  <c r="Q56" i="32"/>
  <c r="N56" i="32"/>
  <c r="C56" i="32"/>
  <c r="E57" i="32"/>
  <c r="F57" i="32"/>
  <c r="D57" i="32"/>
  <c r="P57" i="32"/>
  <c r="Q57" i="32"/>
  <c r="N57" i="32"/>
  <c r="C57" i="32"/>
  <c r="E58" i="32"/>
  <c r="F58" i="32"/>
  <c r="D58" i="32"/>
  <c r="P58" i="32"/>
  <c r="Q58" i="32"/>
  <c r="N58" i="32"/>
  <c r="C58" i="32"/>
  <c r="E59" i="32"/>
  <c r="F59" i="32"/>
  <c r="D59" i="32"/>
  <c r="P59" i="32"/>
  <c r="Q59" i="32"/>
  <c r="N59" i="32"/>
  <c r="C59" i="32"/>
  <c r="E60" i="32"/>
  <c r="F60" i="32"/>
  <c r="D60" i="32"/>
  <c r="P60" i="32"/>
  <c r="Q60" i="32"/>
  <c r="N60" i="32"/>
  <c r="C60" i="32"/>
  <c r="E61" i="32"/>
  <c r="F61" i="32"/>
  <c r="D61" i="32"/>
  <c r="P61" i="32"/>
  <c r="Q61" i="32"/>
  <c r="N61" i="32"/>
  <c r="C61" i="32"/>
  <c r="E62" i="32"/>
  <c r="F62" i="32"/>
  <c r="D62" i="32"/>
  <c r="P62" i="32"/>
  <c r="Q62" i="32"/>
  <c r="N62" i="32"/>
  <c r="C62" i="32"/>
  <c r="E63" i="32"/>
  <c r="F63" i="32"/>
  <c r="D63" i="32"/>
  <c r="P63" i="32"/>
  <c r="Q63" i="32"/>
  <c r="N63" i="32"/>
  <c r="C63" i="32"/>
  <c r="E64" i="32"/>
  <c r="F64" i="32"/>
  <c r="D64" i="32"/>
  <c r="P64" i="32"/>
  <c r="Q64" i="32"/>
  <c r="N64" i="32"/>
  <c r="C64" i="32"/>
  <c r="E65" i="32"/>
  <c r="F65" i="32"/>
  <c r="D65" i="32"/>
  <c r="P65" i="32"/>
  <c r="Q65" i="32"/>
  <c r="N65" i="32"/>
  <c r="C65" i="32"/>
  <c r="E66" i="32"/>
  <c r="F66" i="32"/>
  <c r="D66" i="32"/>
  <c r="P66" i="32"/>
  <c r="Q66" i="32"/>
  <c r="N66" i="32"/>
  <c r="C66" i="32"/>
  <c r="E67" i="32"/>
  <c r="F67" i="32"/>
  <c r="D67" i="32"/>
  <c r="P67" i="32"/>
  <c r="Q67" i="32"/>
  <c r="N67" i="32"/>
  <c r="C67" i="32"/>
  <c r="E68" i="32"/>
  <c r="F68" i="32"/>
  <c r="D68" i="32"/>
  <c r="P68" i="32"/>
  <c r="Q68" i="32"/>
  <c r="N68" i="32"/>
  <c r="C68" i="32"/>
  <c r="E69" i="32"/>
  <c r="F69" i="32"/>
  <c r="D69" i="32"/>
  <c r="P69" i="32"/>
  <c r="Q69" i="32"/>
  <c r="N69" i="32"/>
  <c r="C69" i="32"/>
  <c r="E70" i="32"/>
  <c r="F70" i="32"/>
  <c r="D70" i="32"/>
  <c r="P70" i="32"/>
  <c r="Q70" i="32"/>
  <c r="N70" i="32"/>
  <c r="C70" i="32"/>
  <c r="E71" i="32"/>
  <c r="F71" i="32"/>
  <c r="D71" i="32"/>
  <c r="P71" i="32"/>
  <c r="Q71" i="32"/>
  <c r="N71" i="32"/>
  <c r="C71" i="32"/>
  <c r="E72" i="32"/>
  <c r="F72" i="32"/>
  <c r="D72" i="32"/>
  <c r="P72" i="32"/>
  <c r="Q72" i="32"/>
  <c r="N72" i="32"/>
  <c r="C72" i="32"/>
  <c r="E73" i="32"/>
  <c r="F73" i="32"/>
  <c r="D73" i="32"/>
  <c r="P73" i="32"/>
  <c r="Q73" i="32"/>
  <c r="N73" i="32"/>
  <c r="C73" i="32"/>
  <c r="E74" i="32"/>
  <c r="F74" i="32"/>
  <c r="D74" i="32"/>
  <c r="P74" i="32"/>
  <c r="Q74" i="32"/>
  <c r="N74" i="32"/>
  <c r="C74" i="32"/>
  <c r="E75" i="32"/>
  <c r="F75" i="32"/>
  <c r="D75" i="32"/>
  <c r="P75" i="32"/>
  <c r="Q75" i="32"/>
  <c r="N75" i="32"/>
  <c r="C75" i="32"/>
  <c r="E76" i="32"/>
  <c r="F76" i="32"/>
  <c r="D76" i="32"/>
  <c r="P76" i="32"/>
  <c r="Q76" i="32"/>
  <c r="N76" i="32"/>
  <c r="C76" i="32"/>
  <c r="E77" i="32"/>
  <c r="F77" i="32"/>
  <c r="D77" i="32"/>
  <c r="P77" i="32"/>
  <c r="Q77" i="32"/>
  <c r="N77" i="32"/>
  <c r="C77" i="32"/>
  <c r="E78" i="32"/>
  <c r="F78" i="32"/>
  <c r="D78" i="32"/>
  <c r="P78" i="32"/>
  <c r="Q78" i="32"/>
  <c r="N78" i="32"/>
  <c r="C78" i="32"/>
  <c r="E79" i="32"/>
  <c r="F79" i="32"/>
  <c r="D79" i="32"/>
  <c r="P79" i="32"/>
  <c r="Q79" i="32"/>
  <c r="N79" i="32"/>
  <c r="C79" i="32"/>
  <c r="E80" i="32"/>
  <c r="F80" i="32"/>
  <c r="D80" i="32"/>
  <c r="P80" i="32"/>
  <c r="Q80" i="32"/>
  <c r="N80" i="32"/>
  <c r="C80" i="32"/>
  <c r="E81" i="32"/>
  <c r="F81" i="32"/>
  <c r="D81" i="32"/>
  <c r="P81" i="32"/>
  <c r="Q81" i="32"/>
  <c r="N81" i="32"/>
  <c r="C81" i="32"/>
  <c r="E82" i="32"/>
  <c r="F82" i="32"/>
  <c r="D82" i="32"/>
  <c r="P82" i="32"/>
  <c r="Q82" i="32"/>
  <c r="N82" i="32"/>
  <c r="C82" i="32"/>
  <c r="E83" i="32"/>
  <c r="F83" i="32"/>
  <c r="D83" i="32"/>
  <c r="P83" i="32"/>
  <c r="Q83" i="32"/>
  <c r="N83" i="32"/>
  <c r="C83" i="32"/>
  <c r="E84" i="32"/>
  <c r="F84" i="32"/>
  <c r="D84" i="32"/>
  <c r="P84" i="32"/>
  <c r="Q84" i="32"/>
  <c r="N84" i="32"/>
  <c r="C84" i="32"/>
  <c r="E85" i="32"/>
  <c r="F85" i="32"/>
  <c r="D85" i="32"/>
  <c r="P85" i="32"/>
  <c r="Q85" i="32"/>
  <c r="N85" i="32"/>
  <c r="C85" i="32"/>
  <c r="E86" i="32"/>
  <c r="F86" i="32"/>
  <c r="D86" i="32"/>
  <c r="P86" i="32"/>
  <c r="Q86" i="32"/>
  <c r="N86" i="32"/>
  <c r="C86" i="32"/>
  <c r="E87" i="32"/>
  <c r="F87" i="32"/>
  <c r="D87" i="32"/>
  <c r="P87" i="32"/>
  <c r="Q87" i="32"/>
  <c r="N87" i="32"/>
  <c r="C87" i="32"/>
  <c r="E88" i="32"/>
  <c r="F88" i="32"/>
  <c r="D88" i="32"/>
  <c r="P88" i="32"/>
  <c r="Q88" i="32"/>
  <c r="N88" i="32"/>
  <c r="C88" i="32"/>
  <c r="E89" i="32"/>
  <c r="F89" i="32"/>
  <c r="D89" i="32"/>
  <c r="P89" i="32"/>
  <c r="Q89" i="32"/>
  <c r="N89" i="32"/>
  <c r="C89" i="32"/>
  <c r="E90" i="32"/>
  <c r="F90" i="32"/>
  <c r="D90" i="32"/>
  <c r="P90" i="32"/>
  <c r="Q90" i="32"/>
  <c r="N90" i="32"/>
  <c r="C90" i="32"/>
  <c r="E91" i="32"/>
  <c r="F91" i="32"/>
  <c r="D91" i="32"/>
  <c r="P91" i="32"/>
  <c r="Q91" i="32"/>
  <c r="N91" i="32"/>
  <c r="C91" i="32"/>
  <c r="E92" i="32"/>
  <c r="F92" i="32"/>
  <c r="D92" i="32"/>
  <c r="P92" i="32"/>
  <c r="Q92" i="32"/>
  <c r="N92" i="32"/>
  <c r="C92" i="32"/>
  <c r="E93" i="32"/>
  <c r="F93" i="32"/>
  <c r="D93" i="32"/>
  <c r="P93" i="32"/>
  <c r="Q93" i="32"/>
  <c r="N93" i="32"/>
  <c r="C93" i="32"/>
  <c r="E94" i="32"/>
  <c r="F94" i="32"/>
  <c r="D94" i="32"/>
  <c r="P94" i="32"/>
  <c r="Q94" i="32"/>
  <c r="N94" i="32"/>
  <c r="C94" i="32"/>
  <c r="E95" i="32"/>
  <c r="F95" i="32"/>
  <c r="D95" i="32"/>
  <c r="P95" i="32"/>
  <c r="Q95" i="32"/>
  <c r="N95" i="32"/>
  <c r="C95" i="32"/>
  <c r="E96" i="32"/>
  <c r="F96" i="32"/>
  <c r="D96" i="32"/>
  <c r="P96" i="32"/>
  <c r="Q96" i="32"/>
  <c r="N96" i="32"/>
  <c r="C96" i="32"/>
  <c r="E97" i="32"/>
  <c r="F97" i="32"/>
  <c r="D97" i="32"/>
  <c r="P97" i="32"/>
  <c r="Q97" i="32"/>
  <c r="N97" i="32"/>
  <c r="C97" i="32"/>
  <c r="E98" i="32"/>
  <c r="F98" i="32"/>
  <c r="D98" i="32"/>
  <c r="P98" i="32"/>
  <c r="Q98" i="32"/>
  <c r="N98" i="32"/>
  <c r="C98" i="32"/>
  <c r="E99" i="32"/>
  <c r="F99" i="32"/>
  <c r="D99" i="32"/>
  <c r="P99" i="32"/>
  <c r="Q99" i="32"/>
  <c r="N99" i="32"/>
  <c r="C99" i="32"/>
  <c r="E100" i="32"/>
  <c r="F100" i="32"/>
  <c r="D100" i="32"/>
  <c r="P100" i="32"/>
  <c r="Q100" i="32"/>
  <c r="N100" i="32"/>
  <c r="C100" i="32"/>
  <c r="E101" i="32"/>
  <c r="F101" i="32"/>
  <c r="D101" i="32"/>
  <c r="P101" i="32"/>
  <c r="Q101" i="32"/>
  <c r="N101" i="32"/>
  <c r="C101" i="32"/>
  <c r="E102" i="32"/>
  <c r="F102" i="32"/>
  <c r="D102" i="32"/>
  <c r="P102" i="32"/>
  <c r="Q102" i="32"/>
  <c r="N102" i="32"/>
  <c r="C102" i="32"/>
  <c r="E103" i="32"/>
  <c r="F103" i="32"/>
  <c r="D103" i="32"/>
  <c r="P103" i="32"/>
  <c r="Q103" i="32"/>
  <c r="N103" i="32"/>
  <c r="C103" i="32"/>
  <c r="E104" i="32"/>
  <c r="F104" i="32"/>
  <c r="D104" i="32"/>
  <c r="P104" i="32"/>
  <c r="Q104" i="32"/>
  <c r="N104" i="32"/>
  <c r="C104" i="32"/>
  <c r="E105" i="32"/>
  <c r="F105" i="32"/>
  <c r="D105" i="32"/>
  <c r="P105" i="32"/>
  <c r="Q105" i="32"/>
  <c r="N105" i="32"/>
  <c r="C105" i="32"/>
  <c r="E106" i="32"/>
  <c r="F106" i="32"/>
  <c r="D106" i="32"/>
  <c r="P106" i="32"/>
  <c r="Q106" i="32"/>
  <c r="N106" i="32"/>
  <c r="C106" i="32"/>
  <c r="E107" i="32"/>
  <c r="F107" i="32"/>
  <c r="D107" i="32"/>
  <c r="P107" i="32"/>
  <c r="Q107" i="32"/>
  <c r="N107" i="32"/>
  <c r="C107" i="32"/>
  <c r="E108" i="32"/>
  <c r="F108" i="32"/>
  <c r="D108" i="32"/>
  <c r="P108" i="32"/>
  <c r="Q108" i="32"/>
  <c r="N108" i="32"/>
  <c r="C108" i="32"/>
  <c r="E109" i="32"/>
  <c r="F109" i="32"/>
  <c r="D109" i="32"/>
  <c r="P109" i="32"/>
  <c r="Q109" i="32"/>
  <c r="N109" i="32"/>
  <c r="C109" i="32"/>
  <c r="E110" i="32"/>
  <c r="F110" i="32"/>
  <c r="D110" i="32"/>
  <c r="P110" i="32"/>
  <c r="Q110" i="32"/>
  <c r="N110" i="32"/>
  <c r="C110" i="32"/>
  <c r="E111" i="32"/>
  <c r="F111" i="32"/>
  <c r="D111" i="32"/>
  <c r="P111" i="32"/>
  <c r="Q111" i="32"/>
  <c r="N111" i="32"/>
  <c r="C111" i="32"/>
  <c r="E112" i="32"/>
  <c r="F112" i="32"/>
  <c r="D112" i="32"/>
  <c r="P112" i="32"/>
  <c r="Q112" i="32"/>
  <c r="N112" i="32"/>
  <c r="C112" i="32"/>
  <c r="E113" i="32"/>
  <c r="F113" i="32"/>
  <c r="D113" i="32"/>
  <c r="Q113" i="32"/>
  <c r="P113" i="32"/>
  <c r="N113" i="32"/>
  <c r="M113" i="32"/>
  <c r="L113" i="32"/>
  <c r="K113" i="32"/>
  <c r="G113" i="32"/>
  <c r="C113" i="32"/>
  <c r="M112" i="32"/>
  <c r="L112" i="32"/>
  <c r="K112" i="32"/>
  <c r="G112" i="32"/>
  <c r="M111" i="32"/>
  <c r="L111" i="32"/>
  <c r="K111" i="32"/>
  <c r="G111" i="32"/>
  <c r="M110" i="32"/>
  <c r="L110" i="32"/>
  <c r="K110" i="32"/>
  <c r="G110" i="32"/>
  <c r="M109" i="32"/>
  <c r="L109" i="32"/>
  <c r="K109" i="32"/>
  <c r="G109" i="32"/>
  <c r="M108" i="32"/>
  <c r="L108" i="32"/>
  <c r="K108" i="32"/>
  <c r="G108" i="32"/>
  <c r="M107" i="32"/>
  <c r="L107" i="32"/>
  <c r="K107" i="32"/>
  <c r="G107" i="32"/>
  <c r="M106" i="32"/>
  <c r="L106" i="32"/>
  <c r="K106" i="32"/>
  <c r="G106" i="32"/>
  <c r="M105" i="32"/>
  <c r="L105" i="32"/>
  <c r="K105" i="32"/>
  <c r="G105" i="32"/>
  <c r="M104" i="32"/>
  <c r="L104" i="32"/>
  <c r="K104" i="32"/>
  <c r="G104" i="32"/>
  <c r="M103" i="32"/>
  <c r="L103" i="32"/>
  <c r="K103" i="32"/>
  <c r="G103" i="32"/>
  <c r="M102" i="32"/>
  <c r="L102" i="32"/>
  <c r="K102" i="32"/>
  <c r="G102" i="32"/>
  <c r="M101" i="32"/>
  <c r="L101" i="32"/>
  <c r="K101" i="32"/>
  <c r="G101" i="32"/>
  <c r="M100" i="32"/>
  <c r="L100" i="32"/>
  <c r="K100" i="32"/>
  <c r="G100" i="32"/>
  <c r="M99" i="32"/>
  <c r="L99" i="32"/>
  <c r="K99" i="32"/>
  <c r="G99" i="32"/>
  <c r="M98" i="32"/>
  <c r="L98" i="32"/>
  <c r="K98" i="32"/>
  <c r="G98" i="32"/>
  <c r="M97" i="32"/>
  <c r="L97" i="32"/>
  <c r="K97" i="32"/>
  <c r="G97" i="32"/>
  <c r="M96" i="32"/>
  <c r="L96" i="32"/>
  <c r="K96" i="32"/>
  <c r="G96" i="32"/>
  <c r="M95" i="32"/>
  <c r="L95" i="32"/>
  <c r="K95" i="32"/>
  <c r="G95" i="32"/>
  <c r="M94" i="32"/>
  <c r="L94" i="32"/>
  <c r="K94" i="32"/>
  <c r="G94" i="32"/>
  <c r="M93" i="32"/>
  <c r="L93" i="32"/>
  <c r="K93" i="32"/>
  <c r="G93" i="32"/>
  <c r="M92" i="32"/>
  <c r="L92" i="32"/>
  <c r="K92" i="32"/>
  <c r="G92" i="32"/>
  <c r="M91" i="32"/>
  <c r="L91" i="32"/>
  <c r="K91" i="32"/>
  <c r="G91" i="32"/>
  <c r="M90" i="32"/>
  <c r="L90" i="32"/>
  <c r="K90" i="32"/>
  <c r="G90" i="32"/>
  <c r="M89" i="32"/>
  <c r="L89" i="32"/>
  <c r="K89" i="32"/>
  <c r="G89" i="32"/>
  <c r="M88" i="32"/>
  <c r="L88" i="32"/>
  <c r="K88" i="32"/>
  <c r="G88" i="32"/>
  <c r="M87" i="32"/>
  <c r="L87" i="32"/>
  <c r="K87" i="32"/>
  <c r="G87" i="32"/>
  <c r="M86" i="32"/>
  <c r="L86" i="32"/>
  <c r="K86" i="32"/>
  <c r="G86" i="32"/>
  <c r="M85" i="32"/>
  <c r="L85" i="32"/>
  <c r="K85" i="32"/>
  <c r="G85" i="32"/>
  <c r="M84" i="32"/>
  <c r="L84" i="32"/>
  <c r="K84" i="32"/>
  <c r="G84" i="32"/>
  <c r="M83" i="32"/>
  <c r="L83" i="32"/>
  <c r="K83" i="32"/>
  <c r="G83" i="32"/>
  <c r="M82" i="32"/>
  <c r="L82" i="32"/>
  <c r="K82" i="32"/>
  <c r="G82" i="32"/>
  <c r="M81" i="32"/>
  <c r="L81" i="32"/>
  <c r="K81" i="32"/>
  <c r="G81" i="32"/>
  <c r="M80" i="32"/>
  <c r="L80" i="32"/>
  <c r="K80" i="32"/>
  <c r="G80" i="32"/>
  <c r="M79" i="32"/>
  <c r="L79" i="32"/>
  <c r="K79" i="32"/>
  <c r="G79" i="32"/>
  <c r="M78" i="32"/>
  <c r="L78" i="32"/>
  <c r="K78" i="32"/>
  <c r="G78" i="32"/>
  <c r="M77" i="32"/>
  <c r="L77" i="32"/>
  <c r="K77" i="32"/>
  <c r="G77" i="32"/>
  <c r="M76" i="32"/>
  <c r="L76" i="32"/>
  <c r="K76" i="32"/>
  <c r="G76" i="32"/>
  <c r="M75" i="32"/>
  <c r="L75" i="32"/>
  <c r="K75" i="32"/>
  <c r="G75" i="32"/>
  <c r="M74" i="32"/>
  <c r="L74" i="32"/>
  <c r="K74" i="32"/>
  <c r="G74" i="32"/>
  <c r="M73" i="32"/>
  <c r="L73" i="32"/>
  <c r="K73" i="32"/>
  <c r="G73" i="32"/>
  <c r="M72" i="32"/>
  <c r="L72" i="32"/>
  <c r="K72" i="32"/>
  <c r="G72" i="32"/>
  <c r="M71" i="32"/>
  <c r="L71" i="32"/>
  <c r="K71" i="32"/>
  <c r="G71" i="32"/>
  <c r="M70" i="32"/>
  <c r="L70" i="32"/>
  <c r="K70" i="32"/>
  <c r="G70" i="32"/>
  <c r="M69" i="32"/>
  <c r="L69" i="32"/>
  <c r="K69" i="32"/>
  <c r="G69" i="32"/>
  <c r="M68" i="32"/>
  <c r="L68" i="32"/>
  <c r="K68" i="32"/>
  <c r="G68" i="32"/>
  <c r="M67" i="32"/>
  <c r="L67" i="32"/>
  <c r="K67" i="32"/>
  <c r="G67" i="32"/>
  <c r="M66" i="32"/>
  <c r="L66" i="32"/>
  <c r="K66" i="32"/>
  <c r="G66" i="32"/>
  <c r="M65" i="32"/>
  <c r="L65" i="32"/>
  <c r="K65" i="32"/>
  <c r="G65" i="32"/>
  <c r="M64" i="32"/>
  <c r="L64" i="32"/>
  <c r="K64" i="32"/>
  <c r="G64" i="32"/>
  <c r="M63" i="32"/>
  <c r="L63" i="32"/>
  <c r="K63" i="32"/>
  <c r="G63" i="32"/>
  <c r="M62" i="32"/>
  <c r="L62" i="32"/>
  <c r="K62" i="32"/>
  <c r="G62" i="32"/>
  <c r="M61" i="32"/>
  <c r="L61" i="32"/>
  <c r="K61" i="32"/>
  <c r="G61" i="32"/>
  <c r="M60" i="32"/>
  <c r="L60" i="32"/>
  <c r="K60" i="32"/>
  <c r="G60" i="32"/>
  <c r="M59" i="32"/>
  <c r="L59" i="32"/>
  <c r="K59" i="32"/>
  <c r="G59" i="32"/>
  <c r="M58" i="32"/>
  <c r="L58" i="32"/>
  <c r="K58" i="32"/>
  <c r="G58" i="32"/>
  <c r="M57" i="32"/>
  <c r="L57" i="32"/>
  <c r="K57" i="32"/>
  <c r="G57" i="32"/>
  <c r="M56" i="32"/>
  <c r="L56" i="32"/>
  <c r="K56" i="32"/>
  <c r="G56" i="32"/>
  <c r="M55" i="32"/>
  <c r="L55" i="32"/>
  <c r="K55" i="32"/>
  <c r="G55" i="32"/>
  <c r="M54" i="32"/>
  <c r="L54" i="32"/>
  <c r="K54" i="32"/>
  <c r="G54" i="32"/>
  <c r="M53" i="32"/>
  <c r="L53" i="32"/>
  <c r="K53" i="32"/>
  <c r="G53" i="32"/>
  <c r="M52" i="32"/>
  <c r="L52" i="32"/>
  <c r="K52" i="32"/>
  <c r="G52" i="32"/>
  <c r="M51" i="32"/>
  <c r="L51" i="32"/>
  <c r="K51" i="32"/>
  <c r="G51" i="32"/>
  <c r="M50" i="32"/>
  <c r="L50" i="32"/>
  <c r="K50" i="32"/>
  <c r="G50" i="32"/>
  <c r="M49" i="32"/>
  <c r="L49" i="32"/>
  <c r="K49" i="32"/>
  <c r="G49" i="32"/>
  <c r="M48" i="32"/>
  <c r="L48" i="32"/>
  <c r="K48" i="32"/>
  <c r="G48" i="32"/>
  <c r="M47" i="32"/>
  <c r="L47" i="32"/>
  <c r="K47" i="32"/>
  <c r="G47" i="32"/>
  <c r="M46" i="32"/>
  <c r="L46" i="32"/>
  <c r="K46" i="32"/>
  <c r="G46" i="32"/>
  <c r="M45" i="32"/>
  <c r="L45" i="32"/>
  <c r="K45" i="32"/>
  <c r="G45" i="32"/>
  <c r="M44" i="32"/>
  <c r="L44" i="32"/>
  <c r="K44" i="32"/>
  <c r="G44" i="32"/>
  <c r="M43" i="32"/>
  <c r="L43" i="32"/>
  <c r="K43" i="32"/>
  <c r="G43" i="32"/>
  <c r="M42" i="32"/>
  <c r="L42" i="32"/>
  <c r="K42" i="32"/>
  <c r="G42" i="32"/>
  <c r="M41" i="32"/>
  <c r="L41" i="32"/>
  <c r="K41" i="32"/>
  <c r="G41" i="32"/>
  <c r="M40" i="32"/>
  <c r="L40" i="32"/>
  <c r="K40" i="32"/>
  <c r="G40" i="32"/>
  <c r="M39" i="32"/>
  <c r="L39" i="32"/>
  <c r="K39" i="32"/>
  <c r="G39" i="32"/>
  <c r="M38" i="32"/>
  <c r="L38" i="32"/>
  <c r="K38" i="32"/>
  <c r="G38" i="32"/>
  <c r="M37" i="32"/>
  <c r="L37" i="32"/>
  <c r="K37" i="32"/>
  <c r="G37" i="32"/>
  <c r="M36" i="32"/>
  <c r="L36" i="32"/>
  <c r="K36" i="32"/>
  <c r="G36" i="32"/>
  <c r="M35" i="32"/>
  <c r="L35" i="32"/>
  <c r="K35" i="32"/>
  <c r="G35" i="32"/>
  <c r="M34" i="32"/>
  <c r="L34" i="32"/>
  <c r="K34" i="32"/>
  <c r="G34" i="32"/>
  <c r="M33" i="32"/>
  <c r="L33" i="32"/>
  <c r="K33" i="32"/>
  <c r="G33" i="32"/>
  <c r="M32" i="32"/>
  <c r="L32" i="32"/>
  <c r="K32" i="32"/>
  <c r="G32" i="32"/>
  <c r="M31" i="32"/>
  <c r="L31" i="32"/>
  <c r="K31" i="32"/>
  <c r="G31" i="32"/>
  <c r="M30" i="32"/>
  <c r="L30" i="32"/>
  <c r="K30" i="32"/>
  <c r="G30" i="32"/>
  <c r="M29" i="32"/>
  <c r="L29" i="32"/>
  <c r="K29" i="32"/>
  <c r="G29" i="32"/>
  <c r="M28" i="32"/>
  <c r="L28" i="32"/>
  <c r="K28" i="32"/>
  <c r="G28" i="32"/>
  <c r="M27" i="32"/>
  <c r="L27" i="32"/>
  <c r="K27" i="32"/>
  <c r="G27" i="32"/>
  <c r="M26" i="32"/>
  <c r="L26" i="32"/>
  <c r="K26" i="32"/>
  <c r="G26" i="32"/>
  <c r="M25" i="32"/>
  <c r="L25" i="32"/>
  <c r="K25" i="32"/>
  <c r="G25" i="32"/>
  <c r="M24" i="32"/>
  <c r="L24" i="32"/>
  <c r="K24" i="32"/>
  <c r="G24" i="32"/>
  <c r="M23" i="32"/>
  <c r="L23" i="32"/>
  <c r="K23" i="32"/>
  <c r="G23" i="32"/>
  <c r="M22" i="32"/>
  <c r="L22" i="32"/>
  <c r="K22" i="32"/>
  <c r="G22" i="32"/>
  <c r="M21" i="32"/>
  <c r="L21" i="32"/>
  <c r="K21" i="32"/>
  <c r="G21" i="32"/>
  <c r="M20" i="32"/>
  <c r="L20" i="32"/>
  <c r="K20" i="32"/>
  <c r="G20" i="32"/>
  <c r="M19" i="32"/>
  <c r="L19" i="32"/>
  <c r="K19" i="32"/>
  <c r="G19" i="32"/>
  <c r="M18" i="32"/>
  <c r="L18" i="32"/>
  <c r="K18" i="32"/>
  <c r="G18" i="32"/>
  <c r="M17" i="32"/>
  <c r="L17" i="32"/>
  <c r="K17" i="32"/>
  <c r="G17" i="32"/>
  <c r="M16" i="32"/>
  <c r="L16" i="32"/>
  <c r="K16" i="32"/>
  <c r="G16" i="32"/>
  <c r="M15" i="32"/>
  <c r="L15" i="32"/>
  <c r="K15" i="32"/>
  <c r="G15" i="32"/>
  <c r="M14" i="32"/>
  <c r="L14" i="32"/>
  <c r="K14" i="32"/>
  <c r="G14" i="32"/>
  <c r="F13" i="32"/>
  <c r="G13" i="32"/>
  <c r="I5" i="32"/>
  <c r="N3" i="32"/>
  <c r="N2" i="32"/>
  <c r="G13" i="31"/>
  <c r="V9" i="31"/>
  <c r="O6" i="31"/>
  <c r="O7" i="31"/>
  <c r="S6" i="31"/>
  <c r="S7" i="31"/>
  <c r="S8" i="31"/>
  <c r="G14" i="31"/>
  <c r="G15" i="31"/>
  <c r="H15" i="31"/>
  <c r="J15" i="31"/>
  <c r="G16" i="31"/>
  <c r="H16" i="31"/>
  <c r="J16" i="31"/>
  <c r="G17" i="31"/>
  <c r="H17" i="31"/>
  <c r="J17" i="31"/>
  <c r="G18" i="31"/>
  <c r="H18" i="31"/>
  <c r="J18" i="31"/>
  <c r="G19" i="31"/>
  <c r="H19" i="31"/>
  <c r="J19" i="31"/>
  <c r="G20" i="31"/>
  <c r="H20" i="31"/>
  <c r="J20" i="31"/>
  <c r="G21" i="31"/>
  <c r="H21" i="31"/>
  <c r="J21" i="31"/>
  <c r="G22" i="31"/>
  <c r="H22" i="31"/>
  <c r="J22" i="31"/>
  <c r="G23" i="31"/>
  <c r="H23" i="31"/>
  <c r="J23" i="31"/>
  <c r="G24" i="31"/>
  <c r="H24" i="31"/>
  <c r="J24" i="31"/>
  <c r="G25" i="31"/>
  <c r="H25" i="31"/>
  <c r="J25" i="31"/>
  <c r="G26" i="31"/>
  <c r="H26" i="31"/>
  <c r="J26" i="31"/>
  <c r="G27" i="31"/>
  <c r="H27" i="31"/>
  <c r="J27" i="31"/>
  <c r="G28" i="31"/>
  <c r="H28" i="31"/>
  <c r="J28" i="31"/>
  <c r="G29" i="31"/>
  <c r="H29" i="31"/>
  <c r="J29" i="31"/>
  <c r="G30" i="31"/>
  <c r="H30" i="31"/>
  <c r="J30" i="31"/>
  <c r="G31" i="31"/>
  <c r="H31" i="31"/>
  <c r="J31" i="31"/>
  <c r="G32" i="31"/>
  <c r="H32" i="31"/>
  <c r="J32" i="31"/>
  <c r="G33" i="31"/>
  <c r="H33" i="31"/>
  <c r="J33" i="31"/>
  <c r="G34" i="31"/>
  <c r="H34" i="31"/>
  <c r="J34" i="31"/>
  <c r="G35" i="31"/>
  <c r="H35" i="31"/>
  <c r="J35" i="31"/>
  <c r="G36" i="31"/>
  <c r="H36" i="31"/>
  <c r="J36" i="31"/>
  <c r="G37" i="31"/>
  <c r="H37" i="31"/>
  <c r="J37" i="31"/>
  <c r="G38" i="31"/>
  <c r="H38" i="31"/>
  <c r="J38" i="31"/>
  <c r="G39" i="31"/>
  <c r="H39" i="31"/>
  <c r="J39" i="31"/>
  <c r="G40" i="31"/>
  <c r="H40" i="31"/>
  <c r="J40" i="31"/>
  <c r="G41" i="31"/>
  <c r="H41" i="31"/>
  <c r="J41" i="31"/>
  <c r="G42" i="31"/>
  <c r="H42" i="31"/>
  <c r="J42" i="31"/>
  <c r="G43" i="31"/>
  <c r="H43" i="31"/>
  <c r="J43" i="31"/>
  <c r="G44" i="31"/>
  <c r="H44" i="31"/>
  <c r="J44" i="31"/>
  <c r="G45" i="31"/>
  <c r="H45" i="31"/>
  <c r="J45" i="31"/>
  <c r="G46" i="31"/>
  <c r="H46" i="31"/>
  <c r="J46" i="31"/>
  <c r="G47" i="31"/>
  <c r="H47" i="31"/>
  <c r="J47" i="31"/>
  <c r="G48" i="31"/>
  <c r="H48" i="31"/>
  <c r="J48" i="31"/>
  <c r="G49" i="31"/>
  <c r="H49" i="31"/>
  <c r="J49" i="31"/>
  <c r="G50" i="31"/>
  <c r="H50" i="31"/>
  <c r="J50" i="31"/>
  <c r="G51" i="31"/>
  <c r="H51" i="31"/>
  <c r="J51" i="31"/>
  <c r="G52" i="31"/>
  <c r="H52" i="31"/>
  <c r="J52" i="31"/>
  <c r="G53" i="31"/>
  <c r="H53" i="31"/>
  <c r="J53" i="31"/>
  <c r="G54" i="31"/>
  <c r="H54" i="31"/>
  <c r="J54" i="31"/>
  <c r="G55" i="31"/>
  <c r="H55" i="31"/>
  <c r="J55" i="31"/>
  <c r="G56" i="31"/>
  <c r="H56" i="31"/>
  <c r="J56" i="31"/>
  <c r="G57" i="31"/>
  <c r="H57" i="31"/>
  <c r="J57" i="31"/>
  <c r="G58" i="31"/>
  <c r="H58" i="31"/>
  <c r="J58" i="31"/>
  <c r="G59" i="31"/>
  <c r="H59" i="31"/>
  <c r="J59" i="31"/>
  <c r="G60" i="31"/>
  <c r="H60" i="31"/>
  <c r="J60" i="31"/>
  <c r="G61" i="31"/>
  <c r="H61" i="31"/>
  <c r="J61" i="31"/>
  <c r="G62" i="31"/>
  <c r="H62" i="31"/>
  <c r="J62" i="31"/>
  <c r="G63" i="31"/>
  <c r="H63" i="31"/>
  <c r="J63" i="31"/>
  <c r="G64" i="31"/>
  <c r="H64" i="31"/>
  <c r="J64" i="31"/>
  <c r="G65" i="31"/>
  <c r="H65" i="31"/>
  <c r="J65" i="31"/>
  <c r="G66" i="31"/>
  <c r="H66" i="31"/>
  <c r="J66" i="31"/>
  <c r="G67" i="31"/>
  <c r="H67" i="31"/>
  <c r="J67" i="31"/>
  <c r="G68" i="31"/>
  <c r="H68" i="31"/>
  <c r="J68" i="31"/>
  <c r="G69" i="31"/>
  <c r="H69" i="31"/>
  <c r="J69" i="31"/>
  <c r="G70" i="31"/>
  <c r="H70" i="31"/>
  <c r="J70" i="31"/>
  <c r="G71" i="31"/>
  <c r="H71" i="31"/>
  <c r="J71" i="31"/>
  <c r="G72" i="31"/>
  <c r="H72" i="31"/>
  <c r="J72" i="31"/>
  <c r="G73" i="31"/>
  <c r="H73" i="31"/>
  <c r="J73" i="31"/>
  <c r="G74" i="31"/>
  <c r="H74" i="31"/>
  <c r="J74" i="31"/>
  <c r="G75" i="31"/>
  <c r="H75" i="31"/>
  <c r="J75" i="31"/>
  <c r="G76" i="31"/>
  <c r="H76" i="31"/>
  <c r="J76" i="31"/>
  <c r="G77" i="31"/>
  <c r="H77" i="31"/>
  <c r="J77" i="31"/>
  <c r="G78" i="31"/>
  <c r="H78" i="31"/>
  <c r="J78" i="31"/>
  <c r="G79" i="31"/>
  <c r="H79" i="31"/>
  <c r="J79" i="31"/>
  <c r="G80" i="31"/>
  <c r="H80" i="31"/>
  <c r="J80" i="31"/>
  <c r="G81" i="31"/>
  <c r="H81" i="31"/>
  <c r="J81" i="31"/>
  <c r="G82" i="31"/>
  <c r="H82" i="31"/>
  <c r="J82" i="31"/>
  <c r="G83" i="31"/>
  <c r="H83" i="31"/>
  <c r="J83" i="31"/>
  <c r="G84" i="31"/>
  <c r="H84" i="31"/>
  <c r="J84" i="31"/>
  <c r="G85" i="31"/>
  <c r="H85" i="31"/>
  <c r="J85" i="31"/>
  <c r="G86" i="31"/>
  <c r="H86" i="31"/>
  <c r="J86" i="31"/>
  <c r="G87" i="31"/>
  <c r="H87" i="31"/>
  <c r="J87" i="31"/>
  <c r="G88" i="31"/>
  <c r="H88" i="31"/>
  <c r="J88" i="31"/>
  <c r="G89" i="31"/>
  <c r="H89" i="31"/>
  <c r="J89" i="31"/>
  <c r="G90" i="31"/>
  <c r="H90" i="31"/>
  <c r="J90" i="31"/>
  <c r="G91" i="31"/>
  <c r="H91" i="31"/>
  <c r="J91" i="31"/>
  <c r="G92" i="31"/>
  <c r="H92" i="31"/>
  <c r="J92" i="31"/>
  <c r="G93" i="31"/>
  <c r="H93" i="31"/>
  <c r="J93" i="31"/>
  <c r="G94" i="31"/>
  <c r="H94" i="31"/>
  <c r="J94" i="31"/>
  <c r="G95" i="31"/>
  <c r="H95" i="31"/>
  <c r="J95" i="31"/>
  <c r="G96" i="31"/>
  <c r="H96" i="31"/>
  <c r="J96" i="31"/>
  <c r="G97" i="31"/>
  <c r="H97" i="31"/>
  <c r="J97" i="31"/>
  <c r="G98" i="31"/>
  <c r="H98" i="31"/>
  <c r="J98" i="31"/>
  <c r="G99" i="31"/>
  <c r="H99" i="31"/>
  <c r="J99" i="31"/>
  <c r="G100" i="31"/>
  <c r="H100" i="31"/>
  <c r="J100" i="31"/>
  <c r="G101" i="31"/>
  <c r="H101" i="31"/>
  <c r="J101" i="31"/>
  <c r="G102" i="31"/>
  <c r="H102" i="31"/>
  <c r="J102" i="31"/>
  <c r="G103" i="31"/>
  <c r="H103" i="31"/>
  <c r="J103" i="31"/>
  <c r="G104" i="31"/>
  <c r="H104" i="31"/>
  <c r="J104" i="31"/>
  <c r="G105" i="31"/>
  <c r="H105" i="31"/>
  <c r="J105" i="31"/>
  <c r="G106" i="31"/>
  <c r="H106" i="31"/>
  <c r="J106" i="31"/>
  <c r="G107" i="31"/>
  <c r="H107" i="31"/>
  <c r="J107" i="31"/>
  <c r="G108" i="31"/>
  <c r="H108" i="31"/>
  <c r="J108" i="31"/>
  <c r="G109" i="31"/>
  <c r="H109" i="31"/>
  <c r="J109" i="31"/>
  <c r="G110" i="31"/>
  <c r="H110" i="31"/>
  <c r="J110" i="31"/>
  <c r="G111" i="31"/>
  <c r="H111" i="31"/>
  <c r="J111" i="31"/>
  <c r="G112" i="31"/>
  <c r="H112" i="31"/>
  <c r="J112" i="31"/>
  <c r="G113" i="31"/>
  <c r="H113" i="31"/>
  <c r="J113" i="31"/>
  <c r="H14" i="31"/>
  <c r="J14" i="31"/>
  <c r="I3" i="31"/>
  <c r="I6" i="31"/>
  <c r="I4" i="31"/>
  <c r="I2" i="31"/>
  <c r="I7" i="31"/>
  <c r="I113" i="31"/>
  <c r="C113" i="31"/>
  <c r="D113" i="31"/>
  <c r="E113" i="31"/>
  <c r="F113" i="31"/>
  <c r="I112" i="31"/>
  <c r="C112" i="31"/>
  <c r="D112" i="31"/>
  <c r="E112" i="31"/>
  <c r="F112" i="31"/>
  <c r="I111" i="31"/>
  <c r="C111" i="31"/>
  <c r="D111" i="31"/>
  <c r="E111" i="31"/>
  <c r="F111" i="31"/>
  <c r="I110" i="31"/>
  <c r="C110" i="31"/>
  <c r="D110" i="31"/>
  <c r="E110" i="31"/>
  <c r="F110" i="31"/>
  <c r="I109" i="31"/>
  <c r="C109" i="31"/>
  <c r="D109" i="31"/>
  <c r="E109" i="31"/>
  <c r="F109" i="31"/>
  <c r="I108" i="31"/>
  <c r="C108" i="31"/>
  <c r="D108" i="31"/>
  <c r="E108" i="31"/>
  <c r="F108" i="31"/>
  <c r="I107" i="31"/>
  <c r="C107" i="31"/>
  <c r="D107" i="31"/>
  <c r="E107" i="31"/>
  <c r="F107" i="31"/>
  <c r="I106" i="31"/>
  <c r="C106" i="31"/>
  <c r="D106" i="31"/>
  <c r="E106" i="31"/>
  <c r="F106" i="31"/>
  <c r="I105" i="31"/>
  <c r="C105" i="31"/>
  <c r="D105" i="31"/>
  <c r="E105" i="31"/>
  <c r="F105" i="31"/>
  <c r="I104" i="31"/>
  <c r="C104" i="31"/>
  <c r="D104" i="31"/>
  <c r="E104" i="31"/>
  <c r="F104" i="31"/>
  <c r="I103" i="31"/>
  <c r="C103" i="31"/>
  <c r="D103" i="31"/>
  <c r="E103" i="31"/>
  <c r="F103" i="31"/>
  <c r="I102" i="31"/>
  <c r="C102" i="31"/>
  <c r="D102" i="31"/>
  <c r="E102" i="31"/>
  <c r="F102" i="31"/>
  <c r="I101" i="31"/>
  <c r="C101" i="31"/>
  <c r="D101" i="31"/>
  <c r="E101" i="31"/>
  <c r="F101" i="31"/>
  <c r="I100" i="31"/>
  <c r="C100" i="31"/>
  <c r="D100" i="31"/>
  <c r="E100" i="31"/>
  <c r="F100" i="31"/>
  <c r="I99" i="31"/>
  <c r="C99" i="31"/>
  <c r="D99" i="31"/>
  <c r="E99" i="31"/>
  <c r="F99" i="31"/>
  <c r="I98" i="31"/>
  <c r="C98" i="31"/>
  <c r="D98" i="31"/>
  <c r="E98" i="31"/>
  <c r="F98" i="31"/>
  <c r="I97" i="31"/>
  <c r="C97" i="31"/>
  <c r="D97" i="31"/>
  <c r="E97" i="31"/>
  <c r="F97" i="31"/>
  <c r="I96" i="31"/>
  <c r="C96" i="31"/>
  <c r="D96" i="31"/>
  <c r="E96" i="31"/>
  <c r="F96" i="31"/>
  <c r="I95" i="31"/>
  <c r="C95" i="31"/>
  <c r="D95" i="31"/>
  <c r="E95" i="31"/>
  <c r="F95" i="31"/>
  <c r="I94" i="31"/>
  <c r="C94" i="31"/>
  <c r="D94" i="31"/>
  <c r="E94" i="31"/>
  <c r="F94" i="31"/>
  <c r="I93" i="31"/>
  <c r="C93" i="31"/>
  <c r="D93" i="31"/>
  <c r="E93" i="31"/>
  <c r="F93" i="31"/>
  <c r="I92" i="31"/>
  <c r="C92" i="31"/>
  <c r="D92" i="31"/>
  <c r="E92" i="31"/>
  <c r="F92" i="31"/>
  <c r="I91" i="31"/>
  <c r="C91" i="31"/>
  <c r="D91" i="31"/>
  <c r="E91" i="31"/>
  <c r="F91" i="31"/>
  <c r="I90" i="31"/>
  <c r="C90" i="31"/>
  <c r="D90" i="31"/>
  <c r="E90" i="31"/>
  <c r="F90" i="31"/>
  <c r="I89" i="31"/>
  <c r="C89" i="31"/>
  <c r="D89" i="31"/>
  <c r="E89" i="31"/>
  <c r="F89" i="31"/>
  <c r="I88" i="31"/>
  <c r="C88" i="31"/>
  <c r="D88" i="31"/>
  <c r="E88" i="31"/>
  <c r="F88" i="31"/>
  <c r="I87" i="31"/>
  <c r="C87" i="31"/>
  <c r="D87" i="31"/>
  <c r="E87" i="31"/>
  <c r="F87" i="31"/>
  <c r="I86" i="31"/>
  <c r="C86" i="31"/>
  <c r="D86" i="31"/>
  <c r="E86" i="31"/>
  <c r="F86" i="31"/>
  <c r="I85" i="31"/>
  <c r="C85" i="31"/>
  <c r="D85" i="31"/>
  <c r="E85" i="31"/>
  <c r="F85" i="31"/>
  <c r="I84" i="31"/>
  <c r="C84" i="31"/>
  <c r="D84" i="31"/>
  <c r="E84" i="31"/>
  <c r="F84" i="31"/>
  <c r="I83" i="31"/>
  <c r="C83" i="31"/>
  <c r="D83" i="31"/>
  <c r="E83" i="31"/>
  <c r="F83" i="31"/>
  <c r="I82" i="31"/>
  <c r="C82" i="31"/>
  <c r="D82" i="31"/>
  <c r="E82" i="31"/>
  <c r="F82" i="31"/>
  <c r="I81" i="31"/>
  <c r="C81" i="31"/>
  <c r="D81" i="31"/>
  <c r="E81" i="31"/>
  <c r="F81" i="31"/>
  <c r="I80" i="31"/>
  <c r="C80" i="31"/>
  <c r="D80" i="31"/>
  <c r="E80" i="31"/>
  <c r="F80" i="31"/>
  <c r="I79" i="31"/>
  <c r="C79" i="31"/>
  <c r="D79" i="31"/>
  <c r="E79" i="31"/>
  <c r="F79" i="31"/>
  <c r="I78" i="31"/>
  <c r="C78" i="31"/>
  <c r="D78" i="31"/>
  <c r="E78" i="31"/>
  <c r="F78" i="31"/>
  <c r="I77" i="31"/>
  <c r="C77" i="31"/>
  <c r="D77" i="31"/>
  <c r="E77" i="31"/>
  <c r="F77" i="31"/>
  <c r="I76" i="31"/>
  <c r="C76" i="31"/>
  <c r="D76" i="31"/>
  <c r="E76" i="31"/>
  <c r="F76" i="31"/>
  <c r="I75" i="31"/>
  <c r="C75" i="31"/>
  <c r="D75" i="31"/>
  <c r="E75" i="31"/>
  <c r="F75" i="31"/>
  <c r="I74" i="31"/>
  <c r="C74" i="31"/>
  <c r="D74" i="31"/>
  <c r="E74" i="31"/>
  <c r="F74" i="31"/>
  <c r="I73" i="31"/>
  <c r="C73" i="31"/>
  <c r="D73" i="31"/>
  <c r="E73" i="31"/>
  <c r="F73" i="31"/>
  <c r="I72" i="31"/>
  <c r="C72" i="31"/>
  <c r="D72" i="31"/>
  <c r="E72" i="31"/>
  <c r="F72" i="31"/>
  <c r="I71" i="31"/>
  <c r="C71" i="31"/>
  <c r="D71" i="31"/>
  <c r="E71" i="31"/>
  <c r="F71" i="31"/>
  <c r="I70" i="31"/>
  <c r="C70" i="31"/>
  <c r="D70" i="31"/>
  <c r="E70" i="31"/>
  <c r="F70" i="31"/>
  <c r="I69" i="31"/>
  <c r="C69" i="31"/>
  <c r="D69" i="31"/>
  <c r="E69" i="31"/>
  <c r="F69" i="31"/>
  <c r="I68" i="31"/>
  <c r="C68" i="31"/>
  <c r="D68" i="31"/>
  <c r="E68" i="31"/>
  <c r="F68" i="31"/>
  <c r="I67" i="31"/>
  <c r="C67" i="31"/>
  <c r="D67" i="31"/>
  <c r="E67" i="31"/>
  <c r="F67" i="31"/>
  <c r="I66" i="31"/>
  <c r="C66" i="31"/>
  <c r="D66" i="31"/>
  <c r="E66" i="31"/>
  <c r="F66" i="31"/>
  <c r="I65" i="31"/>
  <c r="C65" i="31"/>
  <c r="D65" i="31"/>
  <c r="E65" i="31"/>
  <c r="F65" i="31"/>
  <c r="I64" i="31"/>
  <c r="C64" i="31"/>
  <c r="D64" i="31"/>
  <c r="E64" i="31"/>
  <c r="F64" i="31"/>
  <c r="I63" i="31"/>
  <c r="C63" i="31"/>
  <c r="D63" i="31"/>
  <c r="E63" i="31"/>
  <c r="F63" i="31"/>
  <c r="I62" i="31"/>
  <c r="C62" i="31"/>
  <c r="D62" i="31"/>
  <c r="E62" i="31"/>
  <c r="F62" i="31"/>
  <c r="I61" i="31"/>
  <c r="C61" i="31"/>
  <c r="D61" i="31"/>
  <c r="E61" i="31"/>
  <c r="F61" i="31"/>
  <c r="I60" i="31"/>
  <c r="C60" i="31"/>
  <c r="D60" i="31"/>
  <c r="E60" i="31"/>
  <c r="F60" i="31"/>
  <c r="I59" i="31"/>
  <c r="C59" i="31"/>
  <c r="D59" i="31"/>
  <c r="E59" i="31"/>
  <c r="F59" i="31"/>
  <c r="I58" i="31"/>
  <c r="C58" i="31"/>
  <c r="D58" i="31"/>
  <c r="E58" i="31"/>
  <c r="F58" i="31"/>
  <c r="I57" i="31"/>
  <c r="C57" i="31"/>
  <c r="D57" i="31"/>
  <c r="E57" i="31"/>
  <c r="F57" i="31"/>
  <c r="I56" i="31"/>
  <c r="C56" i="31"/>
  <c r="D56" i="31"/>
  <c r="E56" i="31"/>
  <c r="F56" i="31"/>
  <c r="I55" i="31"/>
  <c r="C55" i="31"/>
  <c r="D55" i="31"/>
  <c r="E55" i="31"/>
  <c r="F55" i="31"/>
  <c r="I54" i="31"/>
  <c r="C54" i="31"/>
  <c r="D54" i="31"/>
  <c r="E54" i="31"/>
  <c r="F54" i="31"/>
  <c r="I53" i="31"/>
  <c r="C53" i="31"/>
  <c r="D53" i="31"/>
  <c r="E53" i="31"/>
  <c r="F53" i="31"/>
  <c r="I52" i="31"/>
  <c r="C52" i="31"/>
  <c r="D52" i="31"/>
  <c r="E52" i="31"/>
  <c r="F52" i="31"/>
  <c r="I51" i="31"/>
  <c r="C51" i="31"/>
  <c r="D51" i="31"/>
  <c r="E51" i="31"/>
  <c r="F51" i="31"/>
  <c r="I50" i="31"/>
  <c r="C50" i="31"/>
  <c r="D50" i="31"/>
  <c r="E50" i="31"/>
  <c r="F50" i="31"/>
  <c r="I49" i="31"/>
  <c r="C49" i="31"/>
  <c r="D49" i="31"/>
  <c r="E49" i="31"/>
  <c r="F49" i="31"/>
  <c r="I48" i="31"/>
  <c r="C48" i="31"/>
  <c r="D48" i="31"/>
  <c r="E48" i="31"/>
  <c r="F48" i="31"/>
  <c r="I47" i="31"/>
  <c r="C47" i="31"/>
  <c r="D47" i="31"/>
  <c r="E47" i="31"/>
  <c r="F47" i="31"/>
  <c r="I46" i="31"/>
  <c r="C46" i="31"/>
  <c r="D46" i="31"/>
  <c r="E46" i="31"/>
  <c r="F46" i="31"/>
  <c r="I45" i="31"/>
  <c r="C45" i="31"/>
  <c r="D45" i="31"/>
  <c r="E45" i="31"/>
  <c r="F45" i="31"/>
  <c r="I44" i="31"/>
  <c r="C44" i="31"/>
  <c r="D44" i="31"/>
  <c r="E44" i="31"/>
  <c r="F44" i="31"/>
  <c r="I43" i="31"/>
  <c r="C43" i="31"/>
  <c r="D43" i="31"/>
  <c r="E43" i="31"/>
  <c r="F43" i="31"/>
  <c r="I42" i="31"/>
  <c r="C42" i="31"/>
  <c r="D42" i="31"/>
  <c r="E42" i="31"/>
  <c r="F42" i="31"/>
  <c r="I41" i="31"/>
  <c r="C41" i="31"/>
  <c r="D41" i="31"/>
  <c r="E41" i="31"/>
  <c r="F41" i="31"/>
  <c r="I40" i="31"/>
  <c r="C40" i="31"/>
  <c r="D40" i="31"/>
  <c r="E40" i="31"/>
  <c r="F40" i="31"/>
  <c r="I39" i="31"/>
  <c r="C39" i="31"/>
  <c r="D39" i="31"/>
  <c r="E39" i="31"/>
  <c r="F39" i="31"/>
  <c r="I38" i="31"/>
  <c r="C38" i="31"/>
  <c r="D38" i="31"/>
  <c r="E38" i="31"/>
  <c r="F38" i="31"/>
  <c r="I37" i="31"/>
  <c r="C37" i="31"/>
  <c r="D37" i="31"/>
  <c r="E37" i="31"/>
  <c r="F37" i="31"/>
  <c r="I36" i="31"/>
  <c r="C36" i="31"/>
  <c r="D36" i="31"/>
  <c r="E36" i="31"/>
  <c r="F36" i="31"/>
  <c r="I35" i="31"/>
  <c r="C35" i="31"/>
  <c r="D35" i="31"/>
  <c r="E35" i="31"/>
  <c r="F35" i="31"/>
  <c r="I34" i="31"/>
  <c r="C34" i="31"/>
  <c r="D34" i="31"/>
  <c r="E34" i="31"/>
  <c r="F34" i="31"/>
  <c r="I33" i="31"/>
  <c r="C33" i="31"/>
  <c r="D33" i="31"/>
  <c r="E33" i="31"/>
  <c r="F33" i="31"/>
  <c r="I32" i="31"/>
  <c r="C32" i="31"/>
  <c r="D32" i="31"/>
  <c r="E32" i="31"/>
  <c r="F32" i="31"/>
  <c r="I31" i="31"/>
  <c r="C31" i="31"/>
  <c r="D31" i="31"/>
  <c r="E31" i="31"/>
  <c r="F31" i="31"/>
  <c r="I30" i="31"/>
  <c r="C30" i="31"/>
  <c r="D30" i="31"/>
  <c r="E30" i="31"/>
  <c r="F30" i="31"/>
  <c r="I29" i="31"/>
  <c r="C29" i="31"/>
  <c r="D29" i="31"/>
  <c r="E29" i="31"/>
  <c r="F29" i="31"/>
  <c r="I28" i="31"/>
  <c r="C28" i="31"/>
  <c r="D28" i="31"/>
  <c r="E28" i="31"/>
  <c r="F28" i="31"/>
  <c r="I27" i="31"/>
  <c r="C27" i="31"/>
  <c r="D27" i="31"/>
  <c r="E27" i="31"/>
  <c r="F27" i="31"/>
  <c r="I26" i="31"/>
  <c r="C26" i="31"/>
  <c r="D26" i="31"/>
  <c r="E26" i="31"/>
  <c r="F26" i="31"/>
  <c r="I25" i="31"/>
  <c r="C25" i="31"/>
  <c r="D25" i="31"/>
  <c r="E25" i="31"/>
  <c r="F25" i="31"/>
  <c r="I24" i="31"/>
  <c r="C24" i="31"/>
  <c r="D24" i="31"/>
  <c r="E24" i="31"/>
  <c r="F24" i="31"/>
  <c r="I23" i="31"/>
  <c r="C23" i="31"/>
  <c r="D23" i="31"/>
  <c r="E23" i="31"/>
  <c r="F23" i="31"/>
  <c r="I22" i="31"/>
  <c r="C22" i="31"/>
  <c r="D22" i="31"/>
  <c r="E22" i="31"/>
  <c r="F22" i="31"/>
  <c r="I21" i="31"/>
  <c r="C21" i="31"/>
  <c r="D21" i="31"/>
  <c r="E21" i="31"/>
  <c r="F21" i="31"/>
  <c r="I20" i="31"/>
  <c r="C20" i="31"/>
  <c r="D20" i="31"/>
  <c r="E20" i="31"/>
  <c r="F20" i="31"/>
  <c r="I19" i="31"/>
  <c r="C19" i="31"/>
  <c r="D19" i="31"/>
  <c r="E19" i="31"/>
  <c r="F19" i="31"/>
  <c r="I18" i="31"/>
  <c r="C18" i="31"/>
  <c r="D18" i="31"/>
  <c r="E18" i="31"/>
  <c r="F18" i="31"/>
  <c r="I17" i="31"/>
  <c r="C17" i="31"/>
  <c r="D17" i="31"/>
  <c r="E17" i="31"/>
  <c r="F17" i="31"/>
  <c r="I16" i="31"/>
  <c r="C16" i="31"/>
  <c r="D16" i="31"/>
  <c r="E16" i="31"/>
  <c r="F16" i="31"/>
  <c r="I15" i="31"/>
  <c r="C15" i="31"/>
  <c r="D15" i="31"/>
  <c r="E15" i="31"/>
  <c r="F15" i="31"/>
  <c r="I14" i="31"/>
  <c r="C14" i="31"/>
  <c r="D14" i="31"/>
  <c r="E14" i="31"/>
  <c r="F14" i="31"/>
  <c r="H13" i="31"/>
  <c r="I13" i="31"/>
  <c r="I5" i="31"/>
  <c r="Q3" i="31"/>
  <c r="Q2" i="31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G149" i="22"/>
  <c r="G150" i="22"/>
  <c r="G151" i="22"/>
  <c r="G152" i="22"/>
  <c r="G153" i="22"/>
  <c r="G154" i="22"/>
  <c r="G155" i="22"/>
  <c r="G156" i="22"/>
  <c r="G157" i="22"/>
  <c r="G158" i="22"/>
  <c r="G159" i="22"/>
  <c r="G160" i="22"/>
  <c r="G161" i="22"/>
  <c r="G162" i="22"/>
  <c r="G163" i="22"/>
  <c r="G164" i="22"/>
  <c r="G165" i="22"/>
  <c r="G166" i="22"/>
  <c r="G167" i="22"/>
  <c r="G168" i="22"/>
  <c r="G169" i="22"/>
  <c r="G170" i="22"/>
  <c r="G171" i="22"/>
  <c r="G172" i="22"/>
  <c r="G173" i="22"/>
  <c r="G174" i="22"/>
  <c r="G175" i="22"/>
  <c r="G176" i="22"/>
  <c r="G177" i="22"/>
  <c r="G178" i="22"/>
  <c r="G179" i="22"/>
  <c r="G180" i="22"/>
  <c r="G181" i="22"/>
  <c r="G13" i="22"/>
  <c r="K13" i="22"/>
  <c r="L13" i="22"/>
  <c r="M13" i="22"/>
  <c r="N13" i="22"/>
  <c r="O13" i="22"/>
  <c r="B14" i="22"/>
  <c r="C14" i="22"/>
  <c r="F14" i="22"/>
  <c r="K14" i="22"/>
  <c r="L14" i="22"/>
  <c r="M14" i="22"/>
  <c r="N14" i="22"/>
  <c r="O14" i="22"/>
  <c r="B15" i="22"/>
  <c r="C15" i="22"/>
  <c r="F15" i="22"/>
  <c r="K15" i="22"/>
  <c r="L15" i="22"/>
  <c r="M15" i="22"/>
  <c r="N15" i="22"/>
  <c r="O15" i="22"/>
  <c r="B16" i="22"/>
  <c r="C16" i="22"/>
  <c r="F16" i="22"/>
  <c r="K16" i="22"/>
  <c r="L16" i="22"/>
  <c r="M16" i="22"/>
  <c r="N16" i="22"/>
  <c r="O16" i="22"/>
  <c r="B17" i="22"/>
  <c r="C17" i="22"/>
  <c r="F17" i="22"/>
  <c r="K17" i="22"/>
  <c r="L17" i="22"/>
  <c r="M17" i="22"/>
  <c r="N17" i="22"/>
  <c r="O17" i="22"/>
  <c r="B18" i="22"/>
  <c r="C18" i="22"/>
  <c r="F18" i="22"/>
  <c r="K18" i="22"/>
  <c r="L18" i="22"/>
  <c r="M18" i="22"/>
  <c r="N18" i="22"/>
  <c r="O18" i="22"/>
  <c r="B19" i="22"/>
  <c r="C19" i="22"/>
  <c r="F19" i="22"/>
  <c r="K19" i="22"/>
  <c r="L19" i="22"/>
  <c r="M19" i="22"/>
  <c r="N19" i="22"/>
  <c r="O19" i="22"/>
  <c r="B20" i="22"/>
  <c r="C20" i="22"/>
  <c r="F20" i="22"/>
  <c r="K20" i="22"/>
  <c r="L20" i="22"/>
  <c r="M20" i="22"/>
  <c r="N20" i="22"/>
  <c r="O20" i="22"/>
  <c r="B21" i="22"/>
  <c r="C21" i="22"/>
  <c r="F21" i="22"/>
  <c r="K21" i="22"/>
  <c r="L21" i="22"/>
  <c r="M21" i="22"/>
  <c r="N21" i="22"/>
  <c r="O21" i="22"/>
  <c r="B22" i="22"/>
  <c r="C22" i="22"/>
  <c r="F22" i="22"/>
  <c r="K22" i="22"/>
  <c r="L22" i="22"/>
  <c r="M22" i="22"/>
  <c r="N22" i="22"/>
  <c r="O22" i="22"/>
  <c r="B23" i="22"/>
  <c r="C23" i="22"/>
  <c r="F23" i="22"/>
  <c r="K23" i="22"/>
  <c r="L23" i="22"/>
  <c r="M23" i="22"/>
  <c r="N23" i="22"/>
  <c r="O23" i="22"/>
  <c r="B24" i="22"/>
  <c r="C24" i="22"/>
  <c r="F24" i="22"/>
  <c r="K24" i="22"/>
  <c r="L24" i="22"/>
  <c r="M24" i="22"/>
  <c r="N24" i="22"/>
  <c r="O24" i="22"/>
  <c r="B25" i="22"/>
  <c r="C25" i="22"/>
  <c r="F25" i="22"/>
  <c r="K25" i="22"/>
  <c r="L25" i="22"/>
  <c r="M25" i="22"/>
  <c r="N25" i="22"/>
  <c r="O25" i="22"/>
  <c r="B26" i="22"/>
  <c r="C26" i="22"/>
  <c r="F26" i="22"/>
  <c r="K26" i="22"/>
  <c r="L26" i="22"/>
  <c r="M26" i="22"/>
  <c r="N26" i="22"/>
  <c r="O26" i="22"/>
  <c r="B27" i="22"/>
  <c r="C27" i="22"/>
  <c r="F27" i="22"/>
  <c r="K27" i="22"/>
  <c r="L27" i="22"/>
  <c r="M27" i="22"/>
  <c r="N27" i="22"/>
  <c r="O27" i="22"/>
  <c r="B28" i="22"/>
  <c r="C28" i="22"/>
  <c r="F28" i="22"/>
  <c r="K28" i="22"/>
  <c r="L28" i="22"/>
  <c r="M28" i="22"/>
  <c r="N28" i="22"/>
  <c r="O28" i="22"/>
  <c r="B29" i="22"/>
  <c r="C29" i="22"/>
  <c r="F29" i="22"/>
  <c r="K29" i="22"/>
  <c r="L29" i="22"/>
  <c r="M29" i="22"/>
  <c r="N29" i="22"/>
  <c r="O29" i="22"/>
  <c r="B30" i="22"/>
  <c r="C30" i="22"/>
  <c r="F30" i="22"/>
  <c r="K30" i="22"/>
  <c r="L30" i="22"/>
  <c r="M30" i="22"/>
  <c r="N30" i="22"/>
  <c r="O30" i="22"/>
  <c r="B31" i="22"/>
  <c r="C31" i="22"/>
  <c r="F31" i="22"/>
  <c r="K31" i="22"/>
  <c r="L31" i="22"/>
  <c r="M31" i="22"/>
  <c r="N31" i="22"/>
  <c r="O31" i="22"/>
  <c r="B32" i="22"/>
  <c r="C32" i="22"/>
  <c r="F32" i="22"/>
  <c r="K32" i="22"/>
  <c r="L32" i="22"/>
  <c r="M32" i="22"/>
  <c r="N32" i="22"/>
  <c r="O32" i="22"/>
  <c r="B33" i="22"/>
  <c r="C33" i="22"/>
  <c r="F33" i="22"/>
  <c r="K33" i="22"/>
  <c r="L33" i="22"/>
  <c r="M33" i="22"/>
  <c r="N33" i="22"/>
  <c r="O33" i="22"/>
  <c r="B34" i="22"/>
  <c r="C34" i="22"/>
  <c r="F34" i="22"/>
  <c r="K34" i="22"/>
  <c r="L34" i="22"/>
  <c r="M34" i="22"/>
  <c r="N34" i="22"/>
  <c r="O34" i="22"/>
  <c r="B35" i="22"/>
  <c r="C35" i="22"/>
  <c r="F35" i="22"/>
  <c r="K35" i="22"/>
  <c r="L35" i="22"/>
  <c r="M35" i="22"/>
  <c r="N35" i="22"/>
  <c r="O35" i="22"/>
  <c r="B36" i="22"/>
  <c r="C36" i="22"/>
  <c r="F36" i="22"/>
  <c r="K36" i="22"/>
  <c r="L36" i="22"/>
  <c r="M36" i="22"/>
  <c r="N36" i="22"/>
  <c r="O36" i="22"/>
  <c r="B37" i="22"/>
  <c r="C37" i="22"/>
  <c r="F37" i="22"/>
  <c r="K37" i="22"/>
  <c r="L37" i="22"/>
  <c r="M37" i="22"/>
  <c r="N37" i="22"/>
  <c r="O37" i="22"/>
  <c r="B38" i="22"/>
  <c r="C38" i="22"/>
  <c r="F38" i="22"/>
  <c r="K38" i="22"/>
  <c r="L38" i="22"/>
  <c r="M38" i="22"/>
  <c r="N38" i="22"/>
  <c r="O38" i="22"/>
  <c r="B39" i="22"/>
  <c r="C39" i="22"/>
  <c r="F39" i="22"/>
  <c r="K39" i="22"/>
  <c r="L39" i="22"/>
  <c r="M39" i="22"/>
  <c r="N39" i="22"/>
  <c r="O39" i="22"/>
  <c r="B40" i="22"/>
  <c r="C40" i="22"/>
  <c r="F40" i="22"/>
  <c r="K40" i="22"/>
  <c r="L40" i="22"/>
  <c r="M40" i="22"/>
  <c r="N40" i="22"/>
  <c r="O40" i="22"/>
  <c r="B41" i="22"/>
  <c r="C41" i="22"/>
  <c r="F41" i="22"/>
  <c r="K41" i="22"/>
  <c r="L41" i="22"/>
  <c r="M41" i="22"/>
  <c r="N41" i="22"/>
  <c r="O41" i="22"/>
  <c r="B42" i="22"/>
  <c r="C42" i="22"/>
  <c r="F42" i="22"/>
  <c r="K42" i="22"/>
  <c r="L42" i="22"/>
  <c r="M42" i="22"/>
  <c r="N42" i="22"/>
  <c r="O42" i="22"/>
  <c r="B43" i="22"/>
  <c r="C43" i="22"/>
  <c r="F43" i="22"/>
  <c r="K43" i="22"/>
  <c r="L43" i="22"/>
  <c r="M43" i="22"/>
  <c r="N43" i="22"/>
  <c r="O43" i="22"/>
  <c r="B44" i="22"/>
  <c r="C44" i="22"/>
  <c r="F44" i="22"/>
  <c r="K44" i="22"/>
  <c r="L44" i="22"/>
  <c r="M44" i="22"/>
  <c r="N44" i="22"/>
  <c r="O44" i="22"/>
  <c r="B45" i="22"/>
  <c r="C45" i="22"/>
  <c r="F45" i="22"/>
  <c r="K45" i="22"/>
  <c r="L45" i="22"/>
  <c r="M45" i="22"/>
  <c r="N45" i="22"/>
  <c r="O45" i="22"/>
  <c r="B46" i="22"/>
  <c r="C46" i="22"/>
  <c r="F46" i="22"/>
  <c r="K46" i="22"/>
  <c r="L46" i="22"/>
  <c r="M46" i="22"/>
  <c r="N46" i="22"/>
  <c r="O46" i="22"/>
  <c r="B47" i="22"/>
  <c r="C47" i="22"/>
  <c r="F47" i="22"/>
  <c r="K47" i="22"/>
  <c r="L47" i="22"/>
  <c r="M47" i="22"/>
  <c r="N47" i="22"/>
  <c r="O47" i="22"/>
  <c r="B48" i="22"/>
  <c r="C48" i="22"/>
  <c r="F48" i="22"/>
  <c r="K48" i="22"/>
  <c r="L48" i="22"/>
  <c r="M48" i="22"/>
  <c r="N48" i="22"/>
  <c r="O48" i="22"/>
  <c r="B49" i="22"/>
  <c r="C49" i="22"/>
  <c r="F49" i="22"/>
  <c r="K49" i="22"/>
  <c r="L49" i="22"/>
  <c r="M49" i="22"/>
  <c r="N49" i="22"/>
  <c r="O49" i="22"/>
  <c r="B50" i="22"/>
  <c r="C50" i="22"/>
  <c r="F50" i="22"/>
  <c r="K50" i="22"/>
  <c r="L50" i="22"/>
  <c r="M50" i="22"/>
  <c r="N50" i="22"/>
  <c r="O50" i="22"/>
  <c r="B51" i="22"/>
  <c r="C51" i="22"/>
  <c r="F51" i="22"/>
  <c r="K51" i="22"/>
  <c r="L51" i="22"/>
  <c r="M51" i="22"/>
  <c r="N51" i="22"/>
  <c r="O51" i="22"/>
  <c r="B52" i="22"/>
  <c r="C52" i="22"/>
  <c r="F52" i="22"/>
  <c r="K52" i="22"/>
  <c r="L52" i="22"/>
  <c r="M52" i="22"/>
  <c r="N52" i="22"/>
  <c r="O52" i="22"/>
  <c r="B53" i="22"/>
  <c r="C53" i="22"/>
  <c r="F53" i="22"/>
  <c r="K53" i="22"/>
  <c r="L53" i="22"/>
  <c r="M53" i="22"/>
  <c r="N53" i="22"/>
  <c r="O53" i="22"/>
  <c r="B54" i="22"/>
  <c r="C54" i="22"/>
  <c r="F54" i="22"/>
  <c r="K54" i="22"/>
  <c r="L54" i="22"/>
  <c r="M54" i="22"/>
  <c r="N54" i="22"/>
  <c r="O54" i="22"/>
  <c r="B55" i="22"/>
  <c r="C55" i="22"/>
  <c r="F55" i="22"/>
  <c r="K55" i="22"/>
  <c r="L55" i="22"/>
  <c r="M55" i="22"/>
  <c r="N55" i="22"/>
  <c r="O55" i="22"/>
  <c r="B56" i="22"/>
  <c r="C56" i="22"/>
  <c r="F56" i="22"/>
  <c r="K56" i="22"/>
  <c r="L56" i="22"/>
  <c r="M56" i="22"/>
  <c r="N56" i="22"/>
  <c r="O56" i="22"/>
  <c r="B57" i="22"/>
  <c r="C57" i="22"/>
  <c r="F57" i="22"/>
  <c r="K57" i="22"/>
  <c r="L57" i="22"/>
  <c r="M57" i="22"/>
  <c r="N57" i="22"/>
  <c r="O57" i="22"/>
  <c r="B58" i="22"/>
  <c r="C58" i="22"/>
  <c r="F58" i="22"/>
  <c r="K58" i="22"/>
  <c r="L58" i="22"/>
  <c r="M58" i="22"/>
  <c r="N58" i="22"/>
  <c r="O58" i="22"/>
  <c r="B59" i="22"/>
  <c r="C59" i="22"/>
  <c r="F59" i="22"/>
  <c r="K59" i="22"/>
  <c r="L59" i="22"/>
  <c r="M59" i="22"/>
  <c r="N59" i="22"/>
  <c r="O59" i="22"/>
  <c r="B60" i="22"/>
  <c r="C60" i="22"/>
  <c r="F60" i="22"/>
  <c r="K60" i="22"/>
  <c r="L60" i="22"/>
  <c r="M60" i="22"/>
  <c r="N60" i="22"/>
  <c r="O60" i="22"/>
  <c r="B61" i="22"/>
  <c r="C61" i="22"/>
  <c r="F61" i="22"/>
  <c r="K61" i="22"/>
  <c r="L61" i="22"/>
  <c r="M61" i="22"/>
  <c r="N61" i="22"/>
  <c r="O61" i="22"/>
  <c r="B62" i="22"/>
  <c r="C62" i="22"/>
  <c r="F62" i="22"/>
  <c r="K62" i="22"/>
  <c r="L62" i="22"/>
  <c r="M62" i="22"/>
  <c r="N62" i="22"/>
  <c r="O62" i="22"/>
  <c r="B63" i="22"/>
  <c r="C63" i="22"/>
  <c r="F63" i="22"/>
  <c r="K63" i="22"/>
  <c r="L63" i="22"/>
  <c r="M63" i="22"/>
  <c r="N63" i="22"/>
  <c r="O63" i="22"/>
  <c r="B64" i="22"/>
  <c r="C64" i="22"/>
  <c r="F64" i="22"/>
  <c r="K64" i="22"/>
  <c r="L64" i="22"/>
  <c r="M64" i="22"/>
  <c r="N64" i="22"/>
  <c r="O64" i="22"/>
  <c r="B65" i="22"/>
  <c r="C65" i="22"/>
  <c r="F65" i="22"/>
  <c r="K65" i="22"/>
  <c r="L65" i="22"/>
  <c r="M65" i="22"/>
  <c r="N65" i="22"/>
  <c r="O65" i="22"/>
  <c r="B66" i="22"/>
  <c r="C66" i="22"/>
  <c r="F66" i="22"/>
  <c r="K66" i="22"/>
  <c r="L66" i="22"/>
  <c r="M66" i="22"/>
  <c r="N66" i="22"/>
  <c r="O66" i="22"/>
  <c r="B67" i="22"/>
  <c r="C67" i="22"/>
  <c r="F67" i="22"/>
  <c r="K67" i="22"/>
  <c r="L67" i="22"/>
  <c r="M67" i="22"/>
  <c r="N67" i="22"/>
  <c r="O67" i="22"/>
  <c r="B68" i="22"/>
  <c r="C68" i="22"/>
  <c r="F68" i="22"/>
  <c r="K68" i="22"/>
  <c r="L68" i="22"/>
  <c r="M68" i="22"/>
  <c r="N68" i="22"/>
  <c r="O68" i="22"/>
  <c r="B69" i="22"/>
  <c r="C69" i="22"/>
  <c r="F69" i="22"/>
  <c r="K69" i="22"/>
  <c r="L69" i="22"/>
  <c r="M69" i="22"/>
  <c r="N69" i="22"/>
  <c r="O69" i="22"/>
  <c r="B70" i="22"/>
  <c r="C70" i="22"/>
  <c r="F70" i="22"/>
  <c r="K70" i="22"/>
  <c r="L70" i="22"/>
  <c r="M70" i="22"/>
  <c r="N70" i="22"/>
  <c r="O70" i="22"/>
  <c r="B71" i="22"/>
  <c r="C71" i="22"/>
  <c r="F71" i="22"/>
  <c r="K71" i="22"/>
  <c r="L71" i="22"/>
  <c r="M71" i="22"/>
  <c r="N71" i="22"/>
  <c r="O71" i="22"/>
  <c r="B72" i="22"/>
  <c r="C72" i="22"/>
  <c r="F72" i="22"/>
  <c r="K72" i="22"/>
  <c r="L72" i="22"/>
  <c r="M72" i="22"/>
  <c r="N72" i="22"/>
  <c r="O72" i="22"/>
  <c r="B73" i="22"/>
  <c r="C73" i="22"/>
  <c r="F73" i="22"/>
  <c r="K73" i="22"/>
  <c r="L73" i="22"/>
  <c r="M73" i="22"/>
  <c r="N73" i="22"/>
  <c r="O73" i="22"/>
  <c r="B74" i="22"/>
  <c r="C74" i="22"/>
  <c r="F74" i="22"/>
  <c r="K74" i="22"/>
  <c r="L74" i="22"/>
  <c r="M74" i="22"/>
  <c r="N74" i="22"/>
  <c r="O74" i="22"/>
  <c r="B75" i="22"/>
  <c r="C75" i="22"/>
  <c r="F75" i="22"/>
  <c r="K75" i="22"/>
  <c r="L75" i="22"/>
  <c r="M75" i="22"/>
  <c r="N75" i="22"/>
  <c r="O75" i="22"/>
  <c r="B76" i="22"/>
  <c r="C76" i="22"/>
  <c r="F76" i="22"/>
  <c r="K76" i="22"/>
  <c r="L76" i="22"/>
  <c r="M76" i="22"/>
  <c r="N76" i="22"/>
  <c r="O76" i="22"/>
  <c r="B77" i="22"/>
  <c r="C77" i="22"/>
  <c r="F77" i="22"/>
  <c r="K77" i="22"/>
  <c r="L77" i="22"/>
  <c r="M77" i="22"/>
  <c r="N77" i="22"/>
  <c r="O77" i="22"/>
  <c r="B78" i="22"/>
  <c r="C78" i="22"/>
  <c r="F78" i="22"/>
  <c r="K78" i="22"/>
  <c r="L78" i="22"/>
  <c r="M78" i="22"/>
  <c r="N78" i="22"/>
  <c r="O78" i="22"/>
  <c r="B79" i="22"/>
  <c r="C79" i="22"/>
  <c r="F79" i="22"/>
  <c r="K79" i="22"/>
  <c r="L79" i="22"/>
  <c r="M79" i="22"/>
  <c r="N79" i="22"/>
  <c r="O79" i="22"/>
  <c r="B80" i="22"/>
  <c r="C80" i="22"/>
  <c r="F80" i="22"/>
  <c r="K80" i="22"/>
  <c r="L80" i="22"/>
  <c r="M80" i="22"/>
  <c r="N80" i="22"/>
  <c r="O80" i="22"/>
  <c r="B81" i="22"/>
  <c r="C81" i="22"/>
  <c r="F81" i="22"/>
  <c r="K81" i="22"/>
  <c r="L81" i="22"/>
  <c r="M81" i="22"/>
  <c r="N81" i="22"/>
  <c r="O81" i="22"/>
  <c r="B82" i="22"/>
  <c r="C82" i="22"/>
  <c r="F82" i="22"/>
  <c r="K82" i="22"/>
  <c r="L82" i="22"/>
  <c r="M82" i="22"/>
  <c r="N82" i="22"/>
  <c r="O82" i="22"/>
  <c r="B83" i="22"/>
  <c r="C83" i="22"/>
  <c r="F83" i="22"/>
  <c r="K83" i="22"/>
  <c r="L83" i="22"/>
  <c r="M83" i="22"/>
  <c r="N83" i="22"/>
  <c r="O83" i="22"/>
  <c r="B84" i="22"/>
  <c r="C84" i="22"/>
  <c r="F84" i="22"/>
  <c r="K84" i="22"/>
  <c r="L84" i="22"/>
  <c r="M84" i="22"/>
  <c r="N84" i="22"/>
  <c r="O84" i="22"/>
  <c r="B85" i="22"/>
  <c r="C85" i="22"/>
  <c r="F85" i="22"/>
  <c r="K85" i="22"/>
  <c r="L85" i="22"/>
  <c r="M85" i="22"/>
  <c r="N85" i="22"/>
  <c r="O85" i="22"/>
  <c r="B86" i="22"/>
  <c r="C86" i="22"/>
  <c r="F86" i="22"/>
  <c r="K86" i="22"/>
  <c r="L86" i="22"/>
  <c r="M86" i="22"/>
  <c r="N86" i="22"/>
  <c r="O86" i="22"/>
  <c r="B87" i="22"/>
  <c r="C87" i="22"/>
  <c r="F87" i="22"/>
  <c r="K87" i="22"/>
  <c r="L87" i="22"/>
  <c r="M87" i="22"/>
  <c r="N87" i="22"/>
  <c r="O87" i="22"/>
  <c r="B88" i="22"/>
  <c r="C88" i="22"/>
  <c r="F88" i="22"/>
  <c r="K88" i="22"/>
  <c r="L88" i="22"/>
  <c r="M88" i="22"/>
  <c r="N88" i="22"/>
  <c r="O88" i="22"/>
  <c r="B89" i="22"/>
  <c r="C89" i="22"/>
  <c r="F89" i="22"/>
  <c r="K89" i="22"/>
  <c r="L89" i="22"/>
  <c r="M89" i="22"/>
  <c r="N89" i="22"/>
  <c r="O89" i="22"/>
  <c r="B90" i="22"/>
  <c r="C90" i="22"/>
  <c r="F90" i="22"/>
  <c r="K90" i="22"/>
  <c r="L90" i="22"/>
  <c r="M90" i="22"/>
  <c r="N90" i="22"/>
  <c r="O90" i="22"/>
  <c r="B91" i="22"/>
  <c r="C91" i="22"/>
  <c r="F91" i="22"/>
  <c r="K91" i="22"/>
  <c r="L91" i="22"/>
  <c r="M91" i="22"/>
  <c r="N91" i="22"/>
  <c r="O91" i="22"/>
  <c r="B92" i="22"/>
  <c r="C92" i="22"/>
  <c r="F92" i="22"/>
  <c r="K92" i="22"/>
  <c r="L92" i="22"/>
  <c r="M92" i="22"/>
  <c r="N92" i="22"/>
  <c r="O92" i="22"/>
  <c r="B93" i="22"/>
  <c r="C93" i="22"/>
  <c r="F93" i="22"/>
  <c r="K93" i="22"/>
  <c r="L93" i="22"/>
  <c r="M93" i="22"/>
  <c r="N93" i="22"/>
  <c r="O93" i="22"/>
  <c r="B94" i="22"/>
  <c r="C94" i="22"/>
  <c r="F94" i="22"/>
  <c r="K94" i="22"/>
  <c r="L94" i="22"/>
  <c r="M94" i="22"/>
  <c r="N94" i="22"/>
  <c r="O94" i="22"/>
  <c r="B95" i="22"/>
  <c r="C95" i="22"/>
  <c r="F95" i="22"/>
  <c r="K95" i="22"/>
  <c r="L95" i="22"/>
  <c r="M95" i="22"/>
  <c r="N95" i="22"/>
  <c r="O95" i="22"/>
  <c r="B96" i="22"/>
  <c r="C96" i="22"/>
  <c r="F96" i="22"/>
  <c r="K96" i="22"/>
  <c r="L96" i="22"/>
  <c r="M96" i="22"/>
  <c r="N96" i="22"/>
  <c r="O96" i="22"/>
  <c r="B97" i="22"/>
  <c r="C97" i="22"/>
  <c r="F97" i="22"/>
  <c r="K97" i="22"/>
  <c r="L97" i="22"/>
  <c r="M97" i="22"/>
  <c r="N97" i="22"/>
  <c r="O97" i="22"/>
  <c r="B98" i="22"/>
  <c r="C98" i="22"/>
  <c r="F98" i="22"/>
  <c r="K98" i="22"/>
  <c r="L98" i="22"/>
  <c r="M98" i="22"/>
  <c r="N98" i="22"/>
  <c r="O98" i="22"/>
  <c r="B99" i="22"/>
  <c r="C99" i="22"/>
  <c r="F99" i="22"/>
  <c r="K99" i="22"/>
  <c r="L99" i="22"/>
  <c r="M99" i="22"/>
  <c r="N99" i="22"/>
  <c r="O99" i="22"/>
  <c r="B100" i="22"/>
  <c r="C100" i="22"/>
  <c r="F100" i="22"/>
  <c r="K100" i="22"/>
  <c r="L100" i="22"/>
  <c r="M100" i="22"/>
  <c r="N100" i="22"/>
  <c r="O100" i="22"/>
  <c r="B101" i="22"/>
  <c r="C101" i="22"/>
  <c r="F101" i="22"/>
  <c r="K101" i="22"/>
  <c r="L101" i="22"/>
  <c r="M101" i="22"/>
  <c r="N101" i="22"/>
  <c r="O101" i="22"/>
  <c r="B102" i="22"/>
  <c r="C102" i="22"/>
  <c r="F102" i="22"/>
  <c r="K102" i="22"/>
  <c r="L102" i="22"/>
  <c r="M102" i="22"/>
  <c r="N102" i="22"/>
  <c r="O102" i="22"/>
  <c r="B103" i="22"/>
  <c r="C103" i="22"/>
  <c r="F103" i="22"/>
  <c r="K103" i="22"/>
  <c r="L103" i="22"/>
  <c r="M103" i="22"/>
  <c r="N103" i="22"/>
  <c r="O103" i="22"/>
  <c r="B104" i="22"/>
  <c r="C104" i="22"/>
  <c r="F104" i="22"/>
  <c r="K104" i="22"/>
  <c r="L104" i="22"/>
  <c r="M104" i="22"/>
  <c r="N104" i="22"/>
  <c r="O104" i="22"/>
  <c r="B105" i="22"/>
  <c r="C105" i="22"/>
  <c r="F105" i="22"/>
  <c r="K105" i="22"/>
  <c r="L105" i="22"/>
  <c r="M105" i="22"/>
  <c r="N105" i="22"/>
  <c r="O105" i="22"/>
  <c r="B106" i="22"/>
  <c r="C106" i="22"/>
  <c r="F106" i="22"/>
  <c r="K106" i="22"/>
  <c r="L106" i="22"/>
  <c r="M106" i="22"/>
  <c r="N106" i="22"/>
  <c r="O106" i="22"/>
  <c r="B107" i="22"/>
  <c r="C107" i="22"/>
  <c r="F107" i="22"/>
  <c r="K107" i="22"/>
  <c r="L107" i="22"/>
  <c r="M107" i="22"/>
  <c r="N107" i="22"/>
  <c r="O107" i="22"/>
  <c r="B108" i="22"/>
  <c r="C108" i="22"/>
  <c r="F108" i="22"/>
  <c r="K108" i="22"/>
  <c r="L108" i="22"/>
  <c r="M108" i="22"/>
  <c r="N108" i="22"/>
  <c r="O108" i="22"/>
  <c r="B109" i="22"/>
  <c r="C109" i="22"/>
  <c r="F109" i="22"/>
  <c r="K109" i="22"/>
  <c r="L109" i="22"/>
  <c r="M109" i="22"/>
  <c r="N109" i="22"/>
  <c r="O109" i="22"/>
  <c r="B110" i="22"/>
  <c r="C110" i="22"/>
  <c r="F110" i="22"/>
  <c r="K110" i="22"/>
  <c r="L110" i="22"/>
  <c r="M110" i="22"/>
  <c r="N110" i="22"/>
  <c r="O110" i="22"/>
  <c r="B111" i="22"/>
  <c r="C111" i="22"/>
  <c r="F111" i="22"/>
  <c r="K111" i="22"/>
  <c r="L111" i="22"/>
  <c r="M111" i="22"/>
  <c r="N111" i="22"/>
  <c r="O111" i="22"/>
  <c r="B112" i="22"/>
  <c r="C112" i="22"/>
  <c r="F112" i="22"/>
  <c r="K112" i="22"/>
  <c r="L112" i="22"/>
  <c r="M112" i="22"/>
  <c r="N112" i="22"/>
  <c r="O112" i="22"/>
  <c r="B113" i="22"/>
  <c r="C113" i="22"/>
  <c r="F113" i="22"/>
  <c r="K113" i="22"/>
  <c r="L113" i="22"/>
  <c r="M113" i="22"/>
  <c r="N113" i="22"/>
  <c r="O113" i="22"/>
  <c r="B114" i="22"/>
  <c r="C114" i="22"/>
  <c r="F114" i="22"/>
  <c r="K114" i="22"/>
  <c r="L114" i="22"/>
  <c r="M114" i="22"/>
  <c r="N114" i="22"/>
  <c r="O114" i="22"/>
  <c r="B115" i="22"/>
  <c r="C115" i="22"/>
  <c r="F115" i="22"/>
  <c r="K115" i="22"/>
  <c r="L115" i="22"/>
  <c r="M115" i="22"/>
  <c r="N115" i="22"/>
  <c r="O115" i="22"/>
  <c r="B116" i="22"/>
  <c r="C116" i="22"/>
  <c r="F116" i="22"/>
  <c r="K116" i="22"/>
  <c r="L116" i="22"/>
  <c r="M116" i="22"/>
  <c r="N116" i="22"/>
  <c r="O116" i="22"/>
  <c r="B117" i="22"/>
  <c r="C117" i="22"/>
  <c r="F117" i="22"/>
  <c r="K117" i="22"/>
  <c r="L117" i="22"/>
  <c r="M117" i="22"/>
  <c r="N117" i="22"/>
  <c r="O117" i="22"/>
  <c r="B118" i="22"/>
  <c r="C118" i="22"/>
  <c r="F118" i="22"/>
  <c r="K118" i="22"/>
  <c r="L118" i="22"/>
  <c r="M118" i="22"/>
  <c r="N118" i="22"/>
  <c r="O118" i="22"/>
  <c r="B119" i="22"/>
  <c r="C119" i="22"/>
  <c r="F119" i="22"/>
  <c r="K119" i="22"/>
  <c r="L119" i="22"/>
  <c r="M119" i="22"/>
  <c r="N119" i="22"/>
  <c r="O119" i="22"/>
  <c r="B120" i="22"/>
  <c r="C120" i="22"/>
  <c r="F120" i="22"/>
  <c r="K120" i="22"/>
  <c r="L120" i="22"/>
  <c r="M120" i="22"/>
  <c r="N120" i="22"/>
  <c r="O120" i="22"/>
  <c r="B121" i="22"/>
  <c r="C121" i="22"/>
  <c r="F121" i="22"/>
  <c r="K121" i="22"/>
  <c r="L121" i="22"/>
  <c r="M121" i="22"/>
  <c r="N121" i="22"/>
  <c r="O121" i="22"/>
  <c r="B122" i="22"/>
  <c r="C122" i="22"/>
  <c r="F122" i="22"/>
  <c r="K122" i="22"/>
  <c r="L122" i="22"/>
  <c r="M122" i="22"/>
  <c r="N122" i="22"/>
  <c r="O122" i="22"/>
  <c r="B123" i="22"/>
  <c r="C123" i="22"/>
  <c r="F123" i="22"/>
  <c r="K123" i="22"/>
  <c r="L123" i="22"/>
  <c r="M123" i="22"/>
  <c r="N123" i="22"/>
  <c r="O123" i="22"/>
  <c r="B124" i="22"/>
  <c r="C124" i="22"/>
  <c r="F124" i="22"/>
  <c r="K124" i="22"/>
  <c r="L124" i="22"/>
  <c r="M124" i="22"/>
  <c r="N124" i="22"/>
  <c r="O124" i="22"/>
  <c r="B125" i="22"/>
  <c r="C125" i="22"/>
  <c r="F125" i="22"/>
  <c r="K125" i="22"/>
  <c r="L125" i="22"/>
  <c r="M125" i="22"/>
  <c r="N125" i="22"/>
  <c r="O125" i="22"/>
  <c r="B126" i="22"/>
  <c r="C126" i="22"/>
  <c r="F126" i="22"/>
  <c r="K126" i="22"/>
  <c r="L126" i="22"/>
  <c r="M126" i="22"/>
  <c r="N126" i="22"/>
  <c r="O126" i="22"/>
  <c r="B127" i="22"/>
  <c r="C127" i="22"/>
  <c r="F127" i="22"/>
  <c r="K127" i="22"/>
  <c r="L127" i="22"/>
  <c r="M127" i="22"/>
  <c r="N127" i="22"/>
  <c r="O127" i="22"/>
  <c r="B128" i="22"/>
  <c r="C128" i="22"/>
  <c r="F128" i="22"/>
  <c r="K128" i="22"/>
  <c r="L128" i="22"/>
  <c r="M128" i="22"/>
  <c r="N128" i="22"/>
  <c r="O128" i="22"/>
  <c r="B129" i="22"/>
  <c r="C129" i="22"/>
  <c r="F129" i="22"/>
  <c r="K129" i="22"/>
  <c r="L129" i="22"/>
  <c r="M129" i="22"/>
  <c r="N129" i="22"/>
  <c r="O129" i="22"/>
  <c r="B130" i="22"/>
  <c r="C130" i="22"/>
  <c r="F130" i="22"/>
  <c r="K130" i="22"/>
  <c r="L130" i="22"/>
  <c r="M130" i="22"/>
  <c r="N130" i="22"/>
  <c r="O130" i="22"/>
  <c r="B131" i="22"/>
  <c r="C131" i="22"/>
  <c r="F131" i="22"/>
  <c r="K131" i="22"/>
  <c r="L131" i="22"/>
  <c r="M131" i="22"/>
  <c r="N131" i="22"/>
  <c r="O131" i="22"/>
  <c r="B132" i="22"/>
  <c r="C132" i="22"/>
  <c r="F132" i="22"/>
  <c r="K132" i="22"/>
  <c r="L132" i="22"/>
  <c r="M132" i="22"/>
  <c r="N132" i="22"/>
  <c r="O132" i="22"/>
  <c r="B133" i="22"/>
  <c r="C133" i="22"/>
  <c r="F133" i="22"/>
  <c r="K133" i="22"/>
  <c r="L133" i="22"/>
  <c r="M133" i="22"/>
  <c r="N133" i="22"/>
  <c r="O133" i="22"/>
  <c r="B134" i="22"/>
  <c r="C134" i="22"/>
  <c r="F134" i="22"/>
  <c r="K134" i="22"/>
  <c r="L134" i="22"/>
  <c r="M134" i="22"/>
  <c r="N134" i="22"/>
  <c r="O134" i="22"/>
  <c r="B135" i="22"/>
  <c r="C135" i="22"/>
  <c r="F135" i="22"/>
  <c r="K135" i="22"/>
  <c r="L135" i="22"/>
  <c r="M135" i="22"/>
  <c r="N135" i="22"/>
  <c r="O135" i="22"/>
  <c r="B136" i="22"/>
  <c r="C136" i="22"/>
  <c r="F136" i="22"/>
  <c r="K136" i="22"/>
  <c r="L136" i="22"/>
  <c r="M136" i="22"/>
  <c r="N136" i="22"/>
  <c r="O136" i="22"/>
  <c r="B137" i="22"/>
  <c r="C137" i="22"/>
  <c r="F137" i="22"/>
  <c r="K137" i="22"/>
  <c r="L137" i="22"/>
  <c r="M137" i="22"/>
  <c r="N137" i="22"/>
  <c r="O137" i="22"/>
  <c r="B138" i="22"/>
  <c r="C138" i="22"/>
  <c r="F138" i="22"/>
  <c r="K138" i="22"/>
  <c r="L138" i="22"/>
  <c r="M138" i="22"/>
  <c r="N138" i="22"/>
  <c r="O138" i="22"/>
  <c r="B139" i="22"/>
  <c r="C139" i="22"/>
  <c r="F139" i="22"/>
  <c r="K139" i="22"/>
  <c r="L139" i="22"/>
  <c r="M139" i="22"/>
  <c r="N139" i="22"/>
  <c r="O139" i="22"/>
  <c r="B140" i="22"/>
  <c r="C140" i="22"/>
  <c r="F140" i="22"/>
  <c r="K140" i="22"/>
  <c r="L140" i="22"/>
  <c r="M140" i="22"/>
  <c r="N140" i="22"/>
  <c r="O140" i="22"/>
  <c r="B141" i="22"/>
  <c r="C141" i="22"/>
  <c r="F141" i="22"/>
  <c r="K141" i="22"/>
  <c r="L141" i="22"/>
  <c r="M141" i="22"/>
  <c r="N141" i="22"/>
  <c r="O141" i="22"/>
  <c r="B142" i="22"/>
  <c r="C142" i="22"/>
  <c r="F142" i="22"/>
  <c r="K142" i="22"/>
  <c r="L142" i="22"/>
  <c r="M142" i="22"/>
  <c r="N142" i="22"/>
  <c r="O142" i="22"/>
  <c r="B143" i="22"/>
  <c r="C143" i="22"/>
  <c r="F143" i="22"/>
  <c r="K143" i="22"/>
  <c r="L143" i="22"/>
  <c r="M143" i="22"/>
  <c r="N143" i="22"/>
  <c r="O143" i="22"/>
  <c r="B144" i="22"/>
  <c r="C144" i="22"/>
  <c r="F144" i="22"/>
  <c r="K144" i="22"/>
  <c r="L144" i="22"/>
  <c r="M144" i="22"/>
  <c r="N144" i="22"/>
  <c r="O144" i="22"/>
  <c r="B145" i="22"/>
  <c r="C145" i="22"/>
  <c r="F145" i="22"/>
  <c r="K145" i="22"/>
  <c r="L145" i="22"/>
  <c r="M145" i="22"/>
  <c r="N145" i="22"/>
  <c r="O145" i="22"/>
  <c r="B146" i="22"/>
  <c r="C146" i="22"/>
  <c r="F146" i="22"/>
  <c r="K146" i="22"/>
  <c r="L146" i="22"/>
  <c r="M146" i="22"/>
  <c r="N146" i="22"/>
  <c r="O146" i="22"/>
  <c r="B147" i="22"/>
  <c r="C147" i="22"/>
  <c r="F147" i="22"/>
  <c r="K147" i="22"/>
  <c r="L147" i="22"/>
  <c r="M147" i="22"/>
  <c r="N147" i="22"/>
  <c r="O147" i="22"/>
  <c r="B148" i="22"/>
  <c r="C148" i="22"/>
  <c r="F148" i="22"/>
  <c r="K148" i="22"/>
  <c r="L148" i="22"/>
  <c r="M148" i="22"/>
  <c r="N148" i="22"/>
  <c r="O148" i="22"/>
  <c r="B149" i="22"/>
  <c r="C149" i="22"/>
  <c r="F149" i="22"/>
  <c r="K149" i="22"/>
  <c r="L149" i="22"/>
  <c r="M149" i="22"/>
  <c r="N149" i="22"/>
  <c r="O149" i="22"/>
  <c r="B150" i="22"/>
  <c r="C150" i="22"/>
  <c r="F150" i="22"/>
  <c r="K150" i="22"/>
  <c r="L150" i="22"/>
  <c r="M150" i="22"/>
  <c r="N150" i="22"/>
  <c r="O150" i="22"/>
  <c r="B151" i="22"/>
  <c r="C151" i="22"/>
  <c r="F151" i="22"/>
  <c r="K151" i="22"/>
  <c r="L151" i="22"/>
  <c r="M151" i="22"/>
  <c r="N151" i="22"/>
  <c r="O151" i="22"/>
  <c r="B152" i="22"/>
  <c r="C152" i="22"/>
  <c r="F152" i="22"/>
  <c r="K152" i="22"/>
  <c r="L152" i="22"/>
  <c r="M152" i="22"/>
  <c r="N152" i="22"/>
  <c r="O152" i="22"/>
  <c r="B153" i="22"/>
  <c r="C153" i="22"/>
  <c r="F153" i="22"/>
  <c r="K153" i="22"/>
  <c r="L153" i="22"/>
  <c r="M153" i="22"/>
  <c r="N153" i="22"/>
  <c r="O153" i="22"/>
  <c r="B154" i="22"/>
  <c r="C154" i="22"/>
  <c r="F154" i="22"/>
  <c r="K154" i="22"/>
  <c r="L154" i="22"/>
  <c r="M154" i="22"/>
  <c r="N154" i="22"/>
  <c r="O154" i="22"/>
  <c r="B155" i="22"/>
  <c r="C155" i="22"/>
  <c r="F155" i="22"/>
  <c r="K155" i="22"/>
  <c r="L155" i="22"/>
  <c r="M155" i="22"/>
  <c r="N155" i="22"/>
  <c r="O155" i="22"/>
  <c r="B156" i="22"/>
  <c r="C156" i="22"/>
  <c r="F156" i="22"/>
  <c r="K156" i="22"/>
  <c r="L156" i="22"/>
  <c r="M156" i="22"/>
  <c r="N156" i="22"/>
  <c r="O156" i="22"/>
  <c r="B157" i="22"/>
  <c r="C157" i="22"/>
  <c r="F157" i="22"/>
  <c r="K157" i="22"/>
  <c r="L157" i="22"/>
  <c r="M157" i="22"/>
  <c r="N157" i="22"/>
  <c r="O157" i="22"/>
  <c r="B158" i="22"/>
  <c r="C158" i="22"/>
  <c r="F158" i="22"/>
  <c r="K158" i="22"/>
  <c r="L158" i="22"/>
  <c r="M158" i="22"/>
  <c r="N158" i="22"/>
  <c r="O158" i="22"/>
  <c r="B159" i="22"/>
  <c r="C159" i="22"/>
  <c r="F159" i="22"/>
  <c r="K159" i="22"/>
  <c r="L159" i="22"/>
  <c r="M159" i="22"/>
  <c r="N159" i="22"/>
  <c r="O159" i="22"/>
  <c r="B160" i="22"/>
  <c r="C160" i="22"/>
  <c r="F160" i="22"/>
  <c r="K160" i="22"/>
  <c r="L160" i="22"/>
  <c r="M160" i="22"/>
  <c r="N160" i="22"/>
  <c r="O160" i="22"/>
  <c r="B161" i="22"/>
  <c r="C161" i="22"/>
  <c r="F161" i="22"/>
  <c r="K161" i="22"/>
  <c r="L161" i="22"/>
  <c r="M161" i="22"/>
  <c r="N161" i="22"/>
  <c r="O161" i="22"/>
  <c r="B162" i="22"/>
  <c r="C162" i="22"/>
  <c r="F162" i="22"/>
  <c r="K162" i="22"/>
  <c r="L162" i="22"/>
  <c r="M162" i="22"/>
  <c r="N162" i="22"/>
  <c r="O162" i="22"/>
  <c r="B163" i="22"/>
  <c r="C163" i="22"/>
  <c r="F163" i="22"/>
  <c r="K163" i="22"/>
  <c r="L163" i="22"/>
  <c r="M163" i="22"/>
  <c r="N163" i="22"/>
  <c r="O163" i="22"/>
  <c r="B164" i="22"/>
  <c r="C164" i="22"/>
  <c r="F164" i="22"/>
  <c r="K164" i="22"/>
  <c r="L164" i="22"/>
  <c r="M164" i="22"/>
  <c r="N164" i="22"/>
  <c r="O164" i="22"/>
  <c r="B165" i="22"/>
  <c r="C165" i="22"/>
  <c r="F165" i="22"/>
  <c r="K165" i="22"/>
  <c r="L165" i="22"/>
  <c r="M165" i="22"/>
  <c r="N165" i="22"/>
  <c r="O165" i="22"/>
  <c r="B166" i="22"/>
  <c r="C166" i="22"/>
  <c r="F166" i="22"/>
  <c r="K166" i="22"/>
  <c r="L166" i="22"/>
  <c r="M166" i="22"/>
  <c r="N166" i="22"/>
  <c r="O166" i="22"/>
  <c r="B167" i="22"/>
  <c r="C167" i="22"/>
  <c r="F167" i="22"/>
  <c r="K167" i="22"/>
  <c r="L167" i="22"/>
  <c r="M167" i="22"/>
  <c r="N167" i="22"/>
  <c r="O167" i="22"/>
  <c r="B168" i="22"/>
  <c r="C168" i="22"/>
  <c r="F168" i="22"/>
  <c r="K168" i="22"/>
  <c r="L168" i="22"/>
  <c r="M168" i="22"/>
  <c r="N168" i="22"/>
  <c r="O168" i="22"/>
  <c r="B169" i="22"/>
  <c r="C169" i="22"/>
  <c r="F169" i="22"/>
  <c r="K169" i="22"/>
  <c r="L169" i="22"/>
  <c r="M169" i="22"/>
  <c r="N169" i="22"/>
  <c r="O169" i="22"/>
  <c r="B170" i="22"/>
  <c r="C170" i="22"/>
  <c r="F170" i="22"/>
  <c r="K170" i="22"/>
  <c r="L170" i="22"/>
  <c r="M170" i="22"/>
  <c r="N170" i="22"/>
  <c r="O170" i="22"/>
  <c r="B171" i="22"/>
  <c r="C171" i="22"/>
  <c r="F171" i="22"/>
  <c r="K171" i="22"/>
  <c r="L171" i="22"/>
  <c r="M171" i="22"/>
  <c r="N171" i="22"/>
  <c r="O171" i="22"/>
  <c r="B172" i="22"/>
  <c r="C172" i="22"/>
  <c r="F172" i="22"/>
  <c r="K172" i="22"/>
  <c r="L172" i="22"/>
  <c r="M172" i="22"/>
  <c r="N172" i="22"/>
  <c r="O172" i="22"/>
  <c r="B173" i="22"/>
  <c r="C173" i="22"/>
  <c r="F173" i="22"/>
  <c r="K173" i="22"/>
  <c r="L173" i="22"/>
  <c r="M173" i="22"/>
  <c r="N173" i="22"/>
  <c r="O173" i="22"/>
  <c r="B174" i="22"/>
  <c r="C174" i="22"/>
  <c r="F174" i="22"/>
  <c r="K174" i="22"/>
  <c r="L174" i="22"/>
  <c r="M174" i="22"/>
  <c r="N174" i="22"/>
  <c r="O174" i="22"/>
  <c r="B175" i="22"/>
  <c r="C175" i="22"/>
  <c r="F175" i="22"/>
  <c r="K175" i="22"/>
  <c r="L175" i="22"/>
  <c r="M175" i="22"/>
  <c r="N175" i="22"/>
  <c r="O175" i="22"/>
  <c r="B176" i="22"/>
  <c r="C176" i="22"/>
  <c r="F176" i="22"/>
  <c r="K176" i="22"/>
  <c r="L176" i="22"/>
  <c r="M176" i="22"/>
  <c r="N176" i="22"/>
  <c r="O176" i="22"/>
  <c r="B177" i="22"/>
  <c r="C177" i="22"/>
  <c r="F177" i="22"/>
  <c r="K177" i="22"/>
  <c r="L177" i="22"/>
  <c r="M177" i="22"/>
  <c r="N177" i="22"/>
  <c r="O177" i="22"/>
  <c r="B178" i="22"/>
  <c r="C178" i="22"/>
  <c r="F178" i="22"/>
  <c r="K178" i="22"/>
  <c r="L178" i="22"/>
  <c r="M178" i="22"/>
  <c r="N178" i="22"/>
  <c r="O178" i="22"/>
  <c r="B179" i="22"/>
  <c r="C179" i="22"/>
  <c r="F179" i="22"/>
  <c r="K179" i="22"/>
  <c r="L179" i="22"/>
  <c r="M179" i="22"/>
  <c r="N179" i="22"/>
  <c r="O179" i="22"/>
  <c r="B180" i="22"/>
  <c r="C180" i="22"/>
  <c r="F180" i="22"/>
  <c r="H45" i="22"/>
  <c r="C13" i="22"/>
  <c r="B13" i="22"/>
  <c r="F13" i="22"/>
  <c r="H43" i="22"/>
  <c r="H44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D113" i="22"/>
  <c r="D114" i="22"/>
  <c r="D115" i="22"/>
  <c r="D116" i="22"/>
  <c r="D117" i="22"/>
  <c r="D118" i="22"/>
  <c r="D119" i="22"/>
  <c r="D120" i="22"/>
  <c r="D121" i="22"/>
  <c r="D122" i="22"/>
  <c r="D123" i="22"/>
  <c r="D124" i="22"/>
  <c r="D125" i="22"/>
  <c r="D126" i="22"/>
  <c r="D127" i="22"/>
  <c r="D128" i="22"/>
  <c r="D129" i="22"/>
  <c r="D130" i="22"/>
  <c r="D131" i="22"/>
  <c r="D132" i="22"/>
  <c r="D133" i="22"/>
  <c r="D134" i="22"/>
  <c r="D135" i="22"/>
  <c r="D136" i="22"/>
  <c r="D137" i="22"/>
  <c r="D138" i="22"/>
  <c r="D139" i="22"/>
  <c r="D140" i="22"/>
  <c r="D141" i="22"/>
  <c r="D142" i="22"/>
  <c r="D143" i="22"/>
  <c r="D144" i="22"/>
  <c r="D145" i="22"/>
  <c r="D146" i="22"/>
  <c r="D147" i="22"/>
  <c r="D148" i="22"/>
  <c r="D149" i="22"/>
  <c r="D150" i="22"/>
  <c r="D151" i="22"/>
  <c r="D152" i="22"/>
  <c r="D153" i="22"/>
  <c r="K180" i="22"/>
  <c r="L180" i="22"/>
  <c r="M180" i="22"/>
  <c r="N180" i="22"/>
  <c r="O180" i="22"/>
  <c r="B181" i="22"/>
  <c r="C181" i="22"/>
  <c r="F181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39" i="22"/>
  <c r="E40" i="22"/>
  <c r="E41" i="22"/>
  <c r="E42" i="22"/>
  <c r="E43" i="22"/>
  <c r="E44" i="22"/>
  <c r="E45" i="22"/>
  <c r="E46" i="22"/>
  <c r="E47" i="22"/>
  <c r="E48" i="22"/>
  <c r="E49" i="22"/>
  <c r="E50" i="22"/>
  <c r="E51" i="22"/>
  <c r="E52" i="22"/>
  <c r="E53" i="22"/>
  <c r="E54" i="22"/>
  <c r="E55" i="22"/>
  <c r="E56" i="22"/>
  <c r="E57" i="22"/>
  <c r="E58" i="22"/>
  <c r="E59" i="22"/>
  <c r="E60" i="22"/>
  <c r="E61" i="22"/>
  <c r="E62" i="22"/>
  <c r="E63" i="22"/>
  <c r="E64" i="22"/>
  <c r="E65" i="22"/>
  <c r="E66" i="22"/>
  <c r="E67" i="22"/>
  <c r="E68" i="22"/>
  <c r="E69" i="22"/>
  <c r="E70" i="22"/>
  <c r="E71" i="22"/>
  <c r="E72" i="22"/>
  <c r="E73" i="22"/>
  <c r="E74" i="22"/>
  <c r="E75" i="22"/>
  <c r="E76" i="22"/>
  <c r="E77" i="22"/>
  <c r="E78" i="22"/>
  <c r="E79" i="22"/>
  <c r="E80" i="22"/>
  <c r="E81" i="22"/>
  <c r="E82" i="22"/>
  <c r="E83" i="22"/>
  <c r="E84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E97" i="22"/>
  <c r="E98" i="22"/>
  <c r="E99" i="22"/>
  <c r="E100" i="22"/>
  <c r="E101" i="22"/>
  <c r="E102" i="22"/>
  <c r="E103" i="22"/>
  <c r="E104" i="22"/>
  <c r="E105" i="22"/>
  <c r="E106" i="22"/>
  <c r="E107" i="22"/>
  <c r="E108" i="22"/>
  <c r="E109" i="22"/>
  <c r="E110" i="22"/>
  <c r="E111" i="22"/>
  <c r="E112" i="22"/>
  <c r="E113" i="22"/>
  <c r="E114" i="22"/>
  <c r="E115" i="22"/>
  <c r="E116" i="22"/>
  <c r="E117" i="22"/>
  <c r="E118" i="22"/>
  <c r="E119" i="22"/>
  <c r="E120" i="22"/>
  <c r="E121" i="22"/>
  <c r="E122" i="22"/>
  <c r="E123" i="22"/>
  <c r="E124" i="22"/>
  <c r="E125" i="22"/>
  <c r="E126" i="22"/>
  <c r="E127" i="22"/>
  <c r="E128" i="22"/>
  <c r="E129" i="22"/>
  <c r="E130" i="22"/>
  <c r="E131" i="22"/>
  <c r="E132" i="22"/>
  <c r="E133" i="22"/>
  <c r="E134" i="22"/>
  <c r="E135" i="22"/>
  <c r="E136" i="22"/>
  <c r="E137" i="22"/>
  <c r="E138" i="22"/>
  <c r="E139" i="22"/>
  <c r="E140" i="22"/>
  <c r="E141" i="22"/>
  <c r="E142" i="22"/>
  <c r="E143" i="22"/>
  <c r="E144" i="22"/>
  <c r="E145" i="22"/>
  <c r="E146" i="22"/>
  <c r="E147" i="22"/>
  <c r="E148" i="22"/>
  <c r="E149" i="22"/>
  <c r="E150" i="22"/>
  <c r="E151" i="22"/>
  <c r="E152" i="22"/>
  <c r="E153" i="22"/>
  <c r="E154" i="22"/>
  <c r="E155" i="22"/>
  <c r="E156" i="22"/>
  <c r="E157" i="22"/>
  <c r="E158" i="22"/>
  <c r="E159" i="22"/>
  <c r="E160" i="22"/>
  <c r="E161" i="22"/>
  <c r="E162" i="22"/>
  <c r="E163" i="22"/>
  <c r="E164" i="22"/>
  <c r="E165" i="22"/>
  <c r="E166" i="22"/>
  <c r="E167" i="22"/>
  <c r="E168" i="22"/>
  <c r="E169" i="22"/>
  <c r="E170" i="22"/>
  <c r="E171" i="22"/>
  <c r="E172" i="22"/>
  <c r="E173" i="22"/>
  <c r="E174" i="22"/>
  <c r="E175" i="22"/>
  <c r="E176" i="22"/>
  <c r="E177" i="22"/>
  <c r="E178" i="22"/>
  <c r="E179" i="22"/>
  <c r="E180" i="22"/>
  <c r="E181" i="22"/>
  <c r="C3" i="22"/>
  <c r="D3" i="21"/>
  <c r="B11" i="21"/>
  <c r="B10" i="21"/>
  <c r="J10" i="21"/>
  <c r="C10" i="21"/>
  <c r="J5" i="21"/>
  <c r="H10" i="21"/>
  <c r="J11" i="21"/>
  <c r="C11" i="21"/>
  <c r="H11" i="21"/>
  <c r="J12" i="21"/>
  <c r="B12" i="21"/>
  <c r="C12" i="21"/>
  <c r="H12" i="21"/>
  <c r="J13" i="21"/>
  <c r="B13" i="21"/>
  <c r="C13" i="21"/>
  <c r="H13" i="21"/>
  <c r="J14" i="21"/>
  <c r="B14" i="21"/>
  <c r="C14" i="21"/>
  <c r="H14" i="21"/>
  <c r="J15" i="21"/>
  <c r="B15" i="21"/>
  <c r="C15" i="21"/>
  <c r="H15" i="21"/>
  <c r="J16" i="21"/>
  <c r="B16" i="21"/>
  <c r="C16" i="21"/>
  <c r="H16" i="21"/>
  <c r="J17" i="21"/>
  <c r="B17" i="21"/>
  <c r="C17" i="21"/>
  <c r="H17" i="21"/>
  <c r="J18" i="21"/>
  <c r="B18" i="21"/>
  <c r="C18" i="21"/>
  <c r="H18" i="21"/>
  <c r="J19" i="21"/>
  <c r="B19" i="21"/>
  <c r="C19" i="21"/>
  <c r="H19" i="21"/>
  <c r="J20" i="21"/>
  <c r="B20" i="21"/>
  <c r="C20" i="21"/>
  <c r="H20" i="21"/>
  <c r="J21" i="21"/>
  <c r="B21" i="21"/>
  <c r="C21" i="21"/>
  <c r="H21" i="21"/>
  <c r="J22" i="21"/>
  <c r="B22" i="21"/>
  <c r="C22" i="21"/>
  <c r="H22" i="21"/>
  <c r="J23" i="21"/>
  <c r="B23" i="21"/>
  <c r="C23" i="21"/>
  <c r="H23" i="21"/>
  <c r="J24" i="21"/>
  <c r="B24" i="21"/>
  <c r="C24" i="21"/>
  <c r="H24" i="21"/>
  <c r="J25" i="21"/>
  <c r="B25" i="21"/>
  <c r="C25" i="21"/>
  <c r="H25" i="21"/>
  <c r="J26" i="21"/>
  <c r="B26" i="21"/>
  <c r="C26" i="21"/>
  <c r="H26" i="21"/>
  <c r="J27" i="21"/>
  <c r="B27" i="21"/>
  <c r="C27" i="21"/>
  <c r="H27" i="21"/>
  <c r="J28" i="21"/>
  <c r="B28" i="21"/>
  <c r="C28" i="21"/>
  <c r="H28" i="21"/>
  <c r="J29" i="21"/>
  <c r="B29" i="21"/>
  <c r="C29" i="21"/>
  <c r="H29" i="21"/>
  <c r="J30" i="21"/>
  <c r="B30" i="21"/>
  <c r="C30" i="21"/>
  <c r="H30" i="21"/>
  <c r="J31" i="21"/>
  <c r="B31" i="21"/>
  <c r="C31" i="21"/>
  <c r="H31" i="21"/>
  <c r="J32" i="21"/>
  <c r="B32" i="21"/>
  <c r="C32" i="21"/>
  <c r="H32" i="21"/>
  <c r="J33" i="21"/>
  <c r="B33" i="21"/>
  <c r="C33" i="21"/>
  <c r="H33" i="21"/>
  <c r="J34" i="21"/>
  <c r="B34" i="21"/>
  <c r="C34" i="21"/>
  <c r="H34" i="21"/>
  <c r="J35" i="21"/>
  <c r="B35" i="21"/>
  <c r="C35" i="21"/>
  <c r="H35" i="21"/>
  <c r="J36" i="21"/>
  <c r="B36" i="21"/>
  <c r="C36" i="21"/>
  <c r="H36" i="21"/>
  <c r="J37" i="21"/>
  <c r="B37" i="21"/>
  <c r="C37" i="21"/>
  <c r="H37" i="21"/>
  <c r="J38" i="21"/>
  <c r="B38" i="21"/>
  <c r="C38" i="21"/>
  <c r="H38" i="21"/>
  <c r="J39" i="21"/>
  <c r="B39" i="21"/>
  <c r="C39" i="21"/>
  <c r="H39" i="21"/>
  <c r="J40" i="21"/>
  <c r="B40" i="21"/>
  <c r="C40" i="21"/>
  <c r="H40" i="21"/>
  <c r="J41" i="21"/>
  <c r="B41" i="21"/>
  <c r="C41" i="21"/>
  <c r="H41" i="21"/>
  <c r="J42" i="21"/>
  <c r="B42" i="21"/>
  <c r="C42" i="21"/>
  <c r="H42" i="21"/>
  <c r="J43" i="21"/>
  <c r="B43" i="21"/>
  <c r="C43" i="21"/>
  <c r="H43" i="21"/>
  <c r="J44" i="21"/>
  <c r="B44" i="21"/>
  <c r="C44" i="21"/>
  <c r="H44" i="21"/>
  <c r="J45" i="21"/>
  <c r="B45" i="21"/>
  <c r="C45" i="21"/>
  <c r="H45" i="21"/>
  <c r="J46" i="21"/>
  <c r="B46" i="21"/>
  <c r="C46" i="21"/>
  <c r="H46" i="21"/>
  <c r="J47" i="21"/>
  <c r="B47" i="21"/>
  <c r="C47" i="21"/>
  <c r="H47" i="21"/>
  <c r="J48" i="21"/>
  <c r="B48" i="21"/>
  <c r="C48" i="21"/>
  <c r="H48" i="21"/>
  <c r="J49" i="21"/>
  <c r="B49" i="21"/>
  <c r="C49" i="21"/>
  <c r="H49" i="21"/>
  <c r="J50" i="21"/>
  <c r="B50" i="21"/>
  <c r="C50" i="21"/>
  <c r="H50" i="21"/>
  <c r="J51" i="21"/>
  <c r="B51" i="21"/>
  <c r="C51" i="21"/>
  <c r="H51" i="21"/>
  <c r="J52" i="21"/>
  <c r="B52" i="21"/>
  <c r="C52" i="21"/>
  <c r="H52" i="21"/>
  <c r="J53" i="21"/>
  <c r="B53" i="21"/>
  <c r="C53" i="21"/>
  <c r="H53" i="21"/>
  <c r="J54" i="21"/>
  <c r="B54" i="21"/>
  <c r="C54" i="21"/>
  <c r="H54" i="21"/>
  <c r="J55" i="21"/>
  <c r="B55" i="21"/>
  <c r="C55" i="21"/>
  <c r="H55" i="21"/>
  <c r="J56" i="21"/>
  <c r="B56" i="21"/>
  <c r="C56" i="21"/>
  <c r="H56" i="21"/>
  <c r="J57" i="21"/>
  <c r="B57" i="21"/>
  <c r="C57" i="21"/>
  <c r="H57" i="21"/>
  <c r="J58" i="21"/>
  <c r="B58" i="21"/>
  <c r="C58" i="21"/>
  <c r="H58" i="21"/>
  <c r="J59" i="21"/>
  <c r="B59" i="21"/>
  <c r="C59" i="21"/>
  <c r="H59" i="21"/>
  <c r="J60" i="21"/>
  <c r="B60" i="21"/>
  <c r="C60" i="21"/>
  <c r="H60" i="21"/>
  <c r="J61" i="21"/>
  <c r="B61" i="21"/>
  <c r="C61" i="21"/>
  <c r="H61" i="21"/>
  <c r="J62" i="21"/>
  <c r="B62" i="21"/>
  <c r="C62" i="21"/>
  <c r="H62" i="21"/>
  <c r="J63" i="21"/>
  <c r="B63" i="21"/>
  <c r="C63" i="21"/>
  <c r="H63" i="21"/>
  <c r="J64" i="21"/>
  <c r="B64" i="21"/>
  <c r="C64" i="21"/>
  <c r="H64" i="21"/>
  <c r="J65" i="21"/>
  <c r="B65" i="21"/>
  <c r="C65" i="21"/>
  <c r="H65" i="21"/>
  <c r="J66" i="21"/>
  <c r="B66" i="21"/>
  <c r="C66" i="21"/>
  <c r="H66" i="21"/>
  <c r="J67" i="21"/>
  <c r="B67" i="21"/>
  <c r="C67" i="21"/>
  <c r="H67" i="21"/>
  <c r="J68" i="21"/>
  <c r="B68" i="21"/>
  <c r="C68" i="21"/>
  <c r="H68" i="21"/>
  <c r="J69" i="21"/>
  <c r="B69" i="21"/>
  <c r="C69" i="21"/>
  <c r="H69" i="21"/>
  <c r="J70" i="21"/>
  <c r="B70" i="21"/>
  <c r="C70" i="21"/>
  <c r="H70" i="21"/>
  <c r="J71" i="21"/>
  <c r="B71" i="21"/>
  <c r="C71" i="21"/>
  <c r="H71" i="21"/>
  <c r="J72" i="21"/>
  <c r="B72" i="21"/>
  <c r="C72" i="21"/>
  <c r="H72" i="21"/>
  <c r="J73" i="21"/>
  <c r="B73" i="21"/>
  <c r="C73" i="21"/>
  <c r="H73" i="21"/>
  <c r="J74" i="21"/>
  <c r="B74" i="21"/>
  <c r="C74" i="21"/>
  <c r="H74" i="21"/>
  <c r="J75" i="21"/>
  <c r="B75" i="21"/>
  <c r="C75" i="21"/>
  <c r="H75" i="21"/>
  <c r="J76" i="21"/>
  <c r="B76" i="21"/>
  <c r="C76" i="21"/>
  <c r="H76" i="21"/>
  <c r="J77" i="21"/>
  <c r="B77" i="21"/>
  <c r="C77" i="21"/>
  <c r="H77" i="21"/>
  <c r="J78" i="21"/>
  <c r="B78" i="21"/>
  <c r="C78" i="21"/>
  <c r="H78" i="21"/>
  <c r="J79" i="21"/>
  <c r="B79" i="21"/>
  <c r="C79" i="21"/>
  <c r="H79" i="21"/>
  <c r="J80" i="21"/>
  <c r="B80" i="21"/>
  <c r="C80" i="21"/>
  <c r="H80" i="21"/>
  <c r="J81" i="21"/>
  <c r="B81" i="21"/>
  <c r="C81" i="21"/>
  <c r="H81" i="21"/>
  <c r="J82" i="21"/>
  <c r="B82" i="21"/>
  <c r="C82" i="21"/>
  <c r="H82" i="21"/>
  <c r="J83" i="21"/>
  <c r="B83" i="21"/>
  <c r="C83" i="21"/>
  <c r="H83" i="21"/>
  <c r="J84" i="21"/>
  <c r="B84" i="21"/>
  <c r="C84" i="21"/>
  <c r="H84" i="21"/>
  <c r="J85" i="21"/>
  <c r="B85" i="21"/>
  <c r="C85" i="21"/>
  <c r="H85" i="21"/>
  <c r="J86" i="21"/>
  <c r="B86" i="21"/>
  <c r="C86" i="21"/>
  <c r="H86" i="21"/>
  <c r="J87" i="21"/>
  <c r="B87" i="21"/>
  <c r="C87" i="21"/>
  <c r="H87" i="21"/>
  <c r="J88" i="21"/>
  <c r="B88" i="21"/>
  <c r="C88" i="21"/>
  <c r="H88" i="21"/>
  <c r="J89" i="21"/>
  <c r="B89" i="21"/>
  <c r="C89" i="21"/>
  <c r="H89" i="21"/>
  <c r="J90" i="21"/>
  <c r="B90" i="21"/>
  <c r="C90" i="21"/>
  <c r="H90" i="21"/>
  <c r="J91" i="21"/>
  <c r="B91" i="21"/>
  <c r="C91" i="21"/>
  <c r="H91" i="21"/>
  <c r="J92" i="21"/>
  <c r="B92" i="21"/>
  <c r="C92" i="21"/>
  <c r="H92" i="21"/>
  <c r="J93" i="21"/>
  <c r="B93" i="21"/>
  <c r="C93" i="21"/>
  <c r="H93" i="21"/>
  <c r="J94" i="21"/>
  <c r="B94" i="21"/>
  <c r="C94" i="21"/>
  <c r="H94" i="21"/>
  <c r="J95" i="21"/>
  <c r="B95" i="21"/>
  <c r="C95" i="21"/>
  <c r="H95" i="21"/>
  <c r="J96" i="21"/>
  <c r="B96" i="21"/>
  <c r="C96" i="21"/>
  <c r="H96" i="21"/>
  <c r="J97" i="21"/>
  <c r="B97" i="21"/>
  <c r="C97" i="21"/>
  <c r="H97" i="21"/>
  <c r="J98" i="21"/>
  <c r="B98" i="21"/>
  <c r="C98" i="21"/>
  <c r="H98" i="21"/>
  <c r="J99" i="21"/>
  <c r="B99" i="21"/>
  <c r="C99" i="21"/>
  <c r="H99" i="21"/>
  <c r="J100" i="21"/>
  <c r="B100" i="21"/>
  <c r="C100" i="21"/>
  <c r="H100" i="21"/>
  <c r="J101" i="21"/>
  <c r="B101" i="21"/>
  <c r="C101" i="21"/>
  <c r="H101" i="21"/>
  <c r="J102" i="21"/>
  <c r="B102" i="21"/>
  <c r="C102" i="21"/>
  <c r="H102" i="21"/>
  <c r="J103" i="21"/>
  <c r="B103" i="21"/>
  <c r="C103" i="21"/>
  <c r="H103" i="21"/>
  <c r="J104" i="21"/>
  <c r="B104" i="21"/>
  <c r="C104" i="21"/>
  <c r="H104" i="21"/>
  <c r="J105" i="21"/>
  <c r="B105" i="21"/>
  <c r="C105" i="21"/>
  <c r="H105" i="21"/>
  <c r="J106" i="21"/>
  <c r="B106" i="21"/>
  <c r="C106" i="21"/>
  <c r="H106" i="21"/>
  <c r="J107" i="21"/>
  <c r="B107" i="21"/>
  <c r="C107" i="21"/>
  <c r="H107" i="21"/>
  <c r="J108" i="21"/>
  <c r="B108" i="21"/>
  <c r="C108" i="21"/>
  <c r="H108" i="21"/>
  <c r="J109" i="21"/>
  <c r="B109" i="21"/>
  <c r="C109" i="21"/>
  <c r="H109" i="21"/>
  <c r="E110" i="21"/>
  <c r="J110" i="21"/>
  <c r="B110" i="21"/>
  <c r="C110" i="21"/>
  <c r="H110" i="21"/>
  <c r="E111" i="21"/>
  <c r="J111" i="21"/>
  <c r="B111" i="21"/>
  <c r="C111" i="21"/>
  <c r="H111" i="21"/>
  <c r="E112" i="21"/>
  <c r="J112" i="21"/>
  <c r="B112" i="21"/>
  <c r="C112" i="21"/>
  <c r="H112" i="21"/>
  <c r="E113" i="21"/>
  <c r="J113" i="21"/>
  <c r="B113" i="21"/>
  <c r="C113" i="21"/>
  <c r="H113" i="21"/>
  <c r="E114" i="21"/>
  <c r="J114" i="21"/>
  <c r="B114" i="21"/>
  <c r="C114" i="21"/>
  <c r="H114" i="21"/>
  <c r="E115" i="21"/>
  <c r="J115" i="21"/>
  <c r="B115" i="21"/>
  <c r="C115" i="21"/>
  <c r="H115" i="21"/>
  <c r="E116" i="21"/>
  <c r="J116" i="21"/>
  <c r="B116" i="21"/>
  <c r="C116" i="21"/>
  <c r="H116" i="21"/>
  <c r="E117" i="21"/>
  <c r="J117" i="21"/>
  <c r="B117" i="21"/>
  <c r="C117" i="21"/>
  <c r="H117" i="21"/>
  <c r="E118" i="21"/>
  <c r="J118" i="21"/>
  <c r="B118" i="21"/>
  <c r="C118" i="21"/>
  <c r="H118" i="21"/>
  <c r="E119" i="21"/>
  <c r="J119" i="21"/>
  <c r="B119" i="21"/>
  <c r="C119" i="21"/>
  <c r="H119" i="21"/>
  <c r="E120" i="21"/>
  <c r="J120" i="21"/>
  <c r="B120" i="21"/>
  <c r="C120" i="21"/>
  <c r="H120" i="21"/>
  <c r="E121" i="21"/>
  <c r="J121" i="21"/>
  <c r="B121" i="21"/>
  <c r="C121" i="21"/>
  <c r="H121" i="21"/>
  <c r="E122" i="21"/>
  <c r="J122" i="21"/>
  <c r="B122" i="21"/>
  <c r="C122" i="21"/>
  <c r="H122" i="21"/>
  <c r="E123" i="21"/>
  <c r="J123" i="21"/>
  <c r="B123" i="21"/>
  <c r="C123" i="21"/>
  <c r="H123" i="21"/>
  <c r="E124" i="21"/>
  <c r="J124" i="21"/>
  <c r="B124" i="21"/>
  <c r="C124" i="21"/>
  <c r="H124" i="21"/>
  <c r="E125" i="21"/>
  <c r="J125" i="21"/>
  <c r="B125" i="21"/>
  <c r="C125" i="21"/>
  <c r="H125" i="21"/>
  <c r="E126" i="21"/>
  <c r="J126" i="21"/>
  <c r="B126" i="21"/>
  <c r="C126" i="21"/>
  <c r="H126" i="21"/>
  <c r="E127" i="21"/>
  <c r="J127" i="21"/>
  <c r="B127" i="21"/>
  <c r="C127" i="21"/>
  <c r="H127" i="21"/>
  <c r="E128" i="21"/>
  <c r="J128" i="21"/>
  <c r="B128" i="21"/>
  <c r="C128" i="21"/>
  <c r="H128" i="21"/>
  <c r="E129" i="21"/>
  <c r="J129" i="21"/>
  <c r="B129" i="21"/>
  <c r="C129" i="21"/>
  <c r="H129" i="21"/>
  <c r="E130" i="21"/>
  <c r="J130" i="21"/>
  <c r="B130" i="21"/>
  <c r="C130" i="21"/>
  <c r="H130" i="21"/>
  <c r="E131" i="21"/>
  <c r="J131" i="21"/>
  <c r="B131" i="21"/>
  <c r="C131" i="21"/>
  <c r="H131" i="21"/>
  <c r="E132" i="21"/>
  <c r="J132" i="21"/>
  <c r="B132" i="21"/>
  <c r="C132" i="21"/>
  <c r="H132" i="21"/>
  <c r="E133" i="21"/>
  <c r="J133" i="21"/>
  <c r="B133" i="21"/>
  <c r="C133" i="21"/>
  <c r="H133" i="21"/>
  <c r="E134" i="21"/>
  <c r="J134" i="21"/>
  <c r="B134" i="21"/>
  <c r="C134" i="21"/>
  <c r="H134" i="21"/>
  <c r="E135" i="21"/>
  <c r="J135" i="21"/>
  <c r="B135" i="21"/>
  <c r="C135" i="21"/>
  <c r="H135" i="21"/>
  <c r="E136" i="21"/>
  <c r="J136" i="21"/>
  <c r="B136" i="21"/>
  <c r="C136" i="21"/>
  <c r="H136" i="21"/>
  <c r="E137" i="21"/>
  <c r="J137" i="21"/>
  <c r="B137" i="21"/>
  <c r="C137" i="21"/>
  <c r="H137" i="21"/>
  <c r="E138" i="21"/>
  <c r="J138" i="21"/>
  <c r="B138" i="21"/>
  <c r="C138" i="21"/>
  <c r="H138" i="21"/>
  <c r="E139" i="21"/>
  <c r="J139" i="21"/>
  <c r="B139" i="21"/>
  <c r="C139" i="21"/>
  <c r="H139" i="21"/>
  <c r="E140" i="21"/>
  <c r="J140" i="21"/>
  <c r="B140" i="21"/>
  <c r="C140" i="21"/>
  <c r="H140" i="21"/>
  <c r="E141" i="21"/>
  <c r="J141" i="21"/>
  <c r="B141" i="21"/>
  <c r="C141" i="21"/>
  <c r="H141" i="21"/>
  <c r="E142" i="21"/>
  <c r="J142" i="21"/>
  <c r="B142" i="21"/>
  <c r="C142" i="21"/>
  <c r="H142" i="21"/>
  <c r="E143" i="21"/>
  <c r="J143" i="21"/>
  <c r="B143" i="21"/>
  <c r="C143" i="21"/>
  <c r="H143" i="21"/>
  <c r="E144" i="21"/>
  <c r="J144" i="21"/>
  <c r="B144" i="21"/>
  <c r="C144" i="21"/>
  <c r="H144" i="21"/>
  <c r="E145" i="21"/>
  <c r="J145" i="21"/>
  <c r="B145" i="21"/>
  <c r="C145" i="21"/>
  <c r="H145" i="21"/>
  <c r="E146" i="21"/>
  <c r="J146" i="21"/>
  <c r="B146" i="21"/>
  <c r="C146" i="21"/>
  <c r="H146" i="21"/>
  <c r="E147" i="21"/>
  <c r="J147" i="21"/>
  <c r="B147" i="21"/>
  <c r="C147" i="21"/>
  <c r="H147" i="21"/>
  <c r="E148" i="21"/>
  <c r="J148" i="21"/>
  <c r="B148" i="21"/>
  <c r="C148" i="21"/>
  <c r="H148" i="21"/>
  <c r="E149" i="21"/>
  <c r="J149" i="21"/>
  <c r="B149" i="21"/>
  <c r="C149" i="21"/>
  <c r="H149" i="21"/>
  <c r="E150" i="21"/>
  <c r="J150" i="21"/>
  <c r="B150" i="21"/>
  <c r="C150" i="21"/>
  <c r="H150" i="21"/>
  <c r="J151" i="21"/>
  <c r="B151" i="21"/>
  <c r="C151" i="21"/>
  <c r="H151" i="21"/>
  <c r="J152" i="21"/>
  <c r="B152" i="21"/>
  <c r="C152" i="21"/>
  <c r="H152" i="21"/>
  <c r="J153" i="21"/>
  <c r="B153" i="21"/>
  <c r="C153" i="21"/>
  <c r="H153" i="21"/>
  <c r="J154" i="21"/>
  <c r="B154" i="21"/>
  <c r="C154" i="21"/>
  <c r="H154" i="21"/>
  <c r="J155" i="21"/>
  <c r="B155" i="21"/>
  <c r="C155" i="21"/>
  <c r="H155" i="21"/>
  <c r="J156" i="21"/>
  <c r="B156" i="21"/>
  <c r="C156" i="21"/>
  <c r="H156" i="21"/>
  <c r="J157" i="21"/>
  <c r="B157" i="21"/>
  <c r="C157" i="21"/>
  <c r="H157" i="21"/>
  <c r="J158" i="21"/>
  <c r="B158" i="21"/>
  <c r="C158" i="21"/>
  <c r="H158" i="21"/>
  <c r="J159" i="21"/>
  <c r="B159" i="21"/>
  <c r="C159" i="21"/>
  <c r="H159" i="21"/>
  <c r="J160" i="21"/>
  <c r="B160" i="21"/>
  <c r="C160" i="21"/>
  <c r="H160" i="21"/>
  <c r="J161" i="21"/>
  <c r="B161" i="21"/>
  <c r="C161" i="21"/>
  <c r="H161" i="21"/>
  <c r="J162" i="21"/>
  <c r="B162" i="21"/>
  <c r="C162" i="21"/>
  <c r="H162" i="21"/>
  <c r="J163" i="21"/>
  <c r="B163" i="21"/>
  <c r="C163" i="21"/>
  <c r="H163" i="21"/>
  <c r="J164" i="21"/>
  <c r="B164" i="21"/>
  <c r="C164" i="21"/>
  <c r="H164" i="21"/>
  <c r="J165" i="21"/>
  <c r="B165" i="21"/>
  <c r="C165" i="21"/>
  <c r="H165" i="21"/>
  <c r="J166" i="21"/>
  <c r="B166" i="21"/>
  <c r="C166" i="21"/>
  <c r="H166" i="21"/>
  <c r="J167" i="21"/>
  <c r="B167" i="21"/>
  <c r="C167" i="21"/>
  <c r="H167" i="21"/>
  <c r="J168" i="21"/>
  <c r="B168" i="21"/>
  <c r="C168" i="21"/>
  <c r="H168" i="21"/>
  <c r="J169" i="21"/>
  <c r="B169" i="21"/>
  <c r="C169" i="21"/>
  <c r="H169" i="21"/>
  <c r="J170" i="21"/>
  <c r="B170" i="21"/>
  <c r="C170" i="21"/>
  <c r="H170" i="21"/>
  <c r="J171" i="21"/>
  <c r="B171" i="21"/>
  <c r="C171" i="21"/>
  <c r="H171" i="21"/>
  <c r="J172" i="21"/>
  <c r="B172" i="21"/>
  <c r="C172" i="21"/>
  <c r="H172" i="21"/>
  <c r="J173" i="21"/>
  <c r="B173" i="21"/>
  <c r="C173" i="21"/>
  <c r="H173" i="21"/>
  <c r="J174" i="21"/>
  <c r="B174" i="21"/>
  <c r="C174" i="21"/>
  <c r="H174" i="21"/>
  <c r="J175" i="21"/>
  <c r="B175" i="21"/>
  <c r="C175" i="21"/>
  <c r="H175" i="21"/>
  <c r="J176" i="21"/>
  <c r="B176" i="21"/>
  <c r="C176" i="21"/>
  <c r="H176" i="21"/>
  <c r="J177" i="21"/>
  <c r="B177" i="21"/>
  <c r="C177" i="21"/>
  <c r="H177" i="21"/>
  <c r="J178" i="21"/>
  <c r="B178" i="21"/>
  <c r="C178" i="21"/>
  <c r="H178" i="21"/>
  <c r="I10" i="21"/>
  <c r="D10" i="21"/>
  <c r="G10" i="21"/>
  <c r="I11" i="21"/>
  <c r="D11" i="21"/>
  <c r="G11" i="21"/>
  <c r="I12" i="21"/>
  <c r="D12" i="21"/>
  <c r="G12" i="21"/>
  <c r="I13" i="21"/>
  <c r="D13" i="21"/>
  <c r="G13" i="21"/>
  <c r="I14" i="21"/>
  <c r="D14" i="21"/>
  <c r="G14" i="21"/>
  <c r="I15" i="21"/>
  <c r="D15" i="21"/>
  <c r="G15" i="21"/>
  <c r="I16" i="21"/>
  <c r="D16" i="21"/>
  <c r="G16" i="21"/>
  <c r="I17" i="21"/>
  <c r="D17" i="21"/>
  <c r="G17" i="21"/>
  <c r="I18" i="21"/>
  <c r="D18" i="21"/>
  <c r="G18" i="21"/>
  <c r="I19" i="21"/>
  <c r="D19" i="21"/>
  <c r="G19" i="21"/>
  <c r="I20" i="21"/>
  <c r="D20" i="21"/>
  <c r="G20" i="21"/>
  <c r="I21" i="21"/>
  <c r="D21" i="21"/>
  <c r="G21" i="21"/>
  <c r="I22" i="21"/>
  <c r="D22" i="21"/>
  <c r="G22" i="21"/>
  <c r="I23" i="21"/>
  <c r="D23" i="21"/>
  <c r="G23" i="21"/>
  <c r="I24" i="21"/>
  <c r="D24" i="21"/>
  <c r="G24" i="21"/>
  <c r="I25" i="21"/>
  <c r="D25" i="21"/>
  <c r="G25" i="21"/>
  <c r="I26" i="21"/>
  <c r="D26" i="21"/>
  <c r="G26" i="21"/>
  <c r="I27" i="21"/>
  <c r="D27" i="21"/>
  <c r="G27" i="21"/>
  <c r="I28" i="21"/>
  <c r="D28" i="21"/>
  <c r="G28" i="21"/>
  <c r="I29" i="21"/>
  <c r="D29" i="21"/>
  <c r="G29" i="21"/>
  <c r="I30" i="21"/>
  <c r="D30" i="21"/>
  <c r="G30" i="21"/>
  <c r="I31" i="21"/>
  <c r="D31" i="21"/>
  <c r="G31" i="21"/>
  <c r="I32" i="21"/>
  <c r="D32" i="21"/>
  <c r="G32" i="21"/>
  <c r="I33" i="21"/>
  <c r="D33" i="21"/>
  <c r="G33" i="21"/>
  <c r="I34" i="21"/>
  <c r="D34" i="21"/>
  <c r="G34" i="21"/>
  <c r="I35" i="21"/>
  <c r="D35" i="21"/>
  <c r="G35" i="21"/>
  <c r="I36" i="21"/>
  <c r="D36" i="21"/>
  <c r="G36" i="21"/>
  <c r="I37" i="21"/>
  <c r="D37" i="21"/>
  <c r="G37" i="21"/>
  <c r="I38" i="21"/>
  <c r="D38" i="21"/>
  <c r="G38" i="21"/>
  <c r="I39" i="21"/>
  <c r="D39" i="21"/>
  <c r="G39" i="21"/>
  <c r="I40" i="21"/>
  <c r="D40" i="21"/>
  <c r="G40" i="21"/>
  <c r="I41" i="21"/>
  <c r="D41" i="21"/>
  <c r="G41" i="21"/>
  <c r="I42" i="21"/>
  <c r="D42" i="21"/>
  <c r="G42" i="21"/>
  <c r="I43" i="21"/>
  <c r="D43" i="21"/>
  <c r="G43" i="21"/>
  <c r="I44" i="21"/>
  <c r="D44" i="21"/>
  <c r="G44" i="21"/>
  <c r="I45" i="21"/>
  <c r="D45" i="21"/>
  <c r="G45" i="21"/>
  <c r="I46" i="21"/>
  <c r="D46" i="21"/>
  <c r="G46" i="21"/>
  <c r="I47" i="21"/>
  <c r="D47" i="21"/>
  <c r="G47" i="21"/>
  <c r="I48" i="21"/>
  <c r="D48" i="21"/>
  <c r="G48" i="21"/>
  <c r="I49" i="21"/>
  <c r="D49" i="21"/>
  <c r="G49" i="21"/>
  <c r="I50" i="21"/>
  <c r="D50" i="21"/>
  <c r="G50" i="21"/>
  <c r="I51" i="21"/>
  <c r="D51" i="21"/>
  <c r="G51" i="21"/>
  <c r="I52" i="21"/>
  <c r="D52" i="21"/>
  <c r="G52" i="21"/>
  <c r="I53" i="21"/>
  <c r="D53" i="21"/>
  <c r="G53" i="21"/>
  <c r="I54" i="21"/>
  <c r="D54" i="21"/>
  <c r="G54" i="21"/>
  <c r="I55" i="21"/>
  <c r="D55" i="21"/>
  <c r="G55" i="21"/>
  <c r="I56" i="21"/>
  <c r="D56" i="21"/>
  <c r="G56" i="21"/>
  <c r="I57" i="21"/>
  <c r="D57" i="21"/>
  <c r="G57" i="21"/>
  <c r="I58" i="21"/>
  <c r="D58" i="21"/>
  <c r="G58" i="21"/>
  <c r="I59" i="21"/>
  <c r="D59" i="21"/>
  <c r="G59" i="21"/>
  <c r="I60" i="21"/>
  <c r="D60" i="21"/>
  <c r="G60" i="21"/>
  <c r="I61" i="21"/>
  <c r="D61" i="21"/>
  <c r="G61" i="21"/>
  <c r="I62" i="21"/>
  <c r="D62" i="21"/>
  <c r="G62" i="21"/>
  <c r="I63" i="21"/>
  <c r="D63" i="21"/>
  <c r="G63" i="21"/>
  <c r="I64" i="21"/>
  <c r="D64" i="21"/>
  <c r="G64" i="21"/>
  <c r="I65" i="21"/>
  <c r="D65" i="21"/>
  <c r="G65" i="21"/>
  <c r="I66" i="21"/>
  <c r="D66" i="21"/>
  <c r="G66" i="21"/>
  <c r="I67" i="21"/>
  <c r="D67" i="21"/>
  <c r="G67" i="21"/>
  <c r="I68" i="21"/>
  <c r="D68" i="21"/>
  <c r="G68" i="21"/>
  <c r="I69" i="21"/>
  <c r="D69" i="21"/>
  <c r="G69" i="21"/>
  <c r="I70" i="21"/>
  <c r="D70" i="21"/>
  <c r="G70" i="21"/>
  <c r="I71" i="21"/>
  <c r="D71" i="21"/>
  <c r="G71" i="21"/>
  <c r="I72" i="21"/>
  <c r="D72" i="21"/>
  <c r="G72" i="21"/>
  <c r="I73" i="21"/>
  <c r="D73" i="21"/>
  <c r="G73" i="21"/>
  <c r="I74" i="21"/>
  <c r="D74" i="21"/>
  <c r="G74" i="21"/>
  <c r="I75" i="21"/>
  <c r="D75" i="21"/>
  <c r="G75" i="21"/>
  <c r="I76" i="21"/>
  <c r="D76" i="21"/>
  <c r="G76" i="21"/>
  <c r="I77" i="21"/>
  <c r="D77" i="21"/>
  <c r="G77" i="21"/>
  <c r="I78" i="21"/>
  <c r="D78" i="21"/>
  <c r="G78" i="21"/>
  <c r="I79" i="21"/>
  <c r="D79" i="21"/>
  <c r="G79" i="21"/>
  <c r="I80" i="21"/>
  <c r="D80" i="21"/>
  <c r="G80" i="21"/>
  <c r="I81" i="21"/>
  <c r="D81" i="21"/>
  <c r="G81" i="21"/>
  <c r="I82" i="21"/>
  <c r="D82" i="21"/>
  <c r="G82" i="21"/>
  <c r="I83" i="21"/>
  <c r="D83" i="21"/>
  <c r="G83" i="21"/>
  <c r="I84" i="21"/>
  <c r="D84" i="21"/>
  <c r="G84" i="21"/>
  <c r="I85" i="21"/>
  <c r="D85" i="21"/>
  <c r="G85" i="21"/>
  <c r="I86" i="21"/>
  <c r="D86" i="21"/>
  <c r="G86" i="21"/>
  <c r="I87" i="21"/>
  <c r="D87" i="21"/>
  <c r="G87" i="21"/>
  <c r="I88" i="21"/>
  <c r="D88" i="21"/>
  <c r="G88" i="21"/>
  <c r="I89" i="21"/>
  <c r="D89" i="21"/>
  <c r="G89" i="21"/>
  <c r="I90" i="21"/>
  <c r="D90" i="21"/>
  <c r="G90" i="21"/>
  <c r="I91" i="21"/>
  <c r="D91" i="21"/>
  <c r="G91" i="21"/>
  <c r="I92" i="21"/>
  <c r="D92" i="21"/>
  <c r="G92" i="21"/>
  <c r="I93" i="21"/>
  <c r="D93" i="21"/>
  <c r="G93" i="21"/>
  <c r="I94" i="21"/>
  <c r="D94" i="21"/>
  <c r="G94" i="21"/>
  <c r="I95" i="21"/>
  <c r="D95" i="21"/>
  <c r="G95" i="21"/>
  <c r="I96" i="21"/>
  <c r="D96" i="21"/>
  <c r="G96" i="21"/>
  <c r="I97" i="21"/>
  <c r="D97" i="21"/>
  <c r="G97" i="21"/>
  <c r="I98" i="21"/>
  <c r="D98" i="21"/>
  <c r="G98" i="21"/>
  <c r="I99" i="21"/>
  <c r="D99" i="21"/>
  <c r="G99" i="21"/>
  <c r="I100" i="21"/>
  <c r="D100" i="21"/>
  <c r="G100" i="21"/>
  <c r="I101" i="21"/>
  <c r="D101" i="21"/>
  <c r="G101" i="21"/>
  <c r="I102" i="21"/>
  <c r="D102" i="21"/>
  <c r="G102" i="21"/>
  <c r="I103" i="21"/>
  <c r="D103" i="21"/>
  <c r="G103" i="21"/>
  <c r="I104" i="21"/>
  <c r="D104" i="21"/>
  <c r="G104" i="21"/>
  <c r="I105" i="21"/>
  <c r="D105" i="21"/>
  <c r="G105" i="21"/>
  <c r="I106" i="21"/>
  <c r="D106" i="21"/>
  <c r="G106" i="21"/>
  <c r="I107" i="21"/>
  <c r="D107" i="21"/>
  <c r="G107" i="21"/>
  <c r="I108" i="21"/>
  <c r="D108" i="21"/>
  <c r="G108" i="21"/>
  <c r="I109" i="21"/>
  <c r="D109" i="21"/>
  <c r="G109" i="21"/>
  <c r="I110" i="21"/>
  <c r="D110" i="21"/>
  <c r="G110" i="21"/>
  <c r="I111" i="21"/>
  <c r="D111" i="21"/>
  <c r="G111" i="21"/>
  <c r="I112" i="21"/>
  <c r="D112" i="21"/>
  <c r="G112" i="21"/>
  <c r="I113" i="21"/>
  <c r="D113" i="21"/>
  <c r="G113" i="21"/>
  <c r="I114" i="21"/>
  <c r="D114" i="21"/>
  <c r="G114" i="21"/>
  <c r="I115" i="21"/>
  <c r="D115" i="21"/>
  <c r="G115" i="21"/>
  <c r="I116" i="21"/>
  <c r="D116" i="21"/>
  <c r="G116" i="21"/>
  <c r="I117" i="21"/>
  <c r="D117" i="21"/>
  <c r="G117" i="21"/>
  <c r="I118" i="21"/>
  <c r="D118" i="21"/>
  <c r="G118" i="21"/>
  <c r="I119" i="21"/>
  <c r="D119" i="21"/>
  <c r="G119" i="21"/>
  <c r="I120" i="21"/>
  <c r="D120" i="21"/>
  <c r="G120" i="21"/>
  <c r="I121" i="21"/>
  <c r="D121" i="21"/>
  <c r="G121" i="21"/>
  <c r="I122" i="21"/>
  <c r="D122" i="21"/>
  <c r="G122" i="21"/>
  <c r="I123" i="21"/>
  <c r="D123" i="21"/>
  <c r="G123" i="21"/>
  <c r="I124" i="21"/>
  <c r="D124" i="21"/>
  <c r="G124" i="21"/>
  <c r="I125" i="21"/>
  <c r="D125" i="21"/>
  <c r="G125" i="21"/>
  <c r="I126" i="21"/>
  <c r="D126" i="21"/>
  <c r="G126" i="21"/>
  <c r="I127" i="21"/>
  <c r="D127" i="21"/>
  <c r="G127" i="21"/>
  <c r="I128" i="21"/>
  <c r="D128" i="21"/>
  <c r="G128" i="21"/>
  <c r="I129" i="21"/>
  <c r="D129" i="21"/>
  <c r="G129" i="21"/>
  <c r="I130" i="21"/>
  <c r="D130" i="21"/>
  <c r="G130" i="21"/>
  <c r="I131" i="21"/>
  <c r="D131" i="21"/>
  <c r="G131" i="21"/>
  <c r="I132" i="21"/>
  <c r="D132" i="21"/>
  <c r="G132" i="21"/>
  <c r="I133" i="21"/>
  <c r="D133" i="21"/>
  <c r="G133" i="21"/>
  <c r="I134" i="21"/>
  <c r="D134" i="21"/>
  <c r="G134" i="21"/>
  <c r="I135" i="21"/>
  <c r="D135" i="21"/>
  <c r="G135" i="21"/>
  <c r="I136" i="21"/>
  <c r="D136" i="21"/>
  <c r="G136" i="21"/>
  <c r="I137" i="21"/>
  <c r="D137" i="21"/>
  <c r="G137" i="21"/>
  <c r="I138" i="21"/>
  <c r="D138" i="21"/>
  <c r="G138" i="21"/>
  <c r="I139" i="21"/>
  <c r="D139" i="21"/>
  <c r="G139" i="21"/>
  <c r="I140" i="21"/>
  <c r="D140" i="21"/>
  <c r="G140" i="21"/>
  <c r="I141" i="21"/>
  <c r="D141" i="21"/>
  <c r="G141" i="21"/>
  <c r="I142" i="21"/>
  <c r="D142" i="21"/>
  <c r="G142" i="21"/>
  <c r="I143" i="21"/>
  <c r="D143" i="21"/>
  <c r="G143" i="21"/>
  <c r="I144" i="21"/>
  <c r="D144" i="21"/>
  <c r="G144" i="21"/>
  <c r="I145" i="21"/>
  <c r="D145" i="21"/>
  <c r="G145" i="21"/>
  <c r="I146" i="21"/>
  <c r="D146" i="21"/>
  <c r="G146" i="21"/>
  <c r="I147" i="21"/>
  <c r="D147" i="21"/>
  <c r="G147" i="21"/>
  <c r="I148" i="21"/>
  <c r="D148" i="21"/>
  <c r="G148" i="21"/>
  <c r="I149" i="21"/>
  <c r="D149" i="21"/>
  <c r="G149" i="21"/>
  <c r="I150" i="21"/>
  <c r="D150" i="21"/>
  <c r="G150" i="21"/>
  <c r="I151" i="21"/>
  <c r="D151" i="21"/>
  <c r="G151" i="21"/>
  <c r="I152" i="21"/>
  <c r="D152" i="21"/>
  <c r="G152" i="21"/>
  <c r="I153" i="21"/>
  <c r="D153" i="21"/>
  <c r="G153" i="21"/>
  <c r="I154" i="21"/>
  <c r="D154" i="21"/>
  <c r="G154" i="21"/>
  <c r="I155" i="21"/>
  <c r="D155" i="21"/>
  <c r="G155" i="21"/>
  <c r="I156" i="21"/>
  <c r="D156" i="21"/>
  <c r="G156" i="21"/>
  <c r="I157" i="21"/>
  <c r="D157" i="21"/>
  <c r="G157" i="21"/>
  <c r="I158" i="21"/>
  <c r="D158" i="21"/>
  <c r="G158" i="21"/>
  <c r="I159" i="21"/>
  <c r="D159" i="21"/>
  <c r="G159" i="21"/>
  <c r="I160" i="21"/>
  <c r="D160" i="21"/>
  <c r="G160" i="21"/>
  <c r="I161" i="21"/>
  <c r="D161" i="21"/>
  <c r="G161" i="21"/>
  <c r="I162" i="21"/>
  <c r="D162" i="21"/>
  <c r="G162" i="21"/>
  <c r="I163" i="21"/>
  <c r="D163" i="21"/>
  <c r="G163" i="21"/>
  <c r="I164" i="21"/>
  <c r="D164" i="21"/>
  <c r="G164" i="21"/>
  <c r="I165" i="21"/>
  <c r="D165" i="21"/>
  <c r="G165" i="21"/>
  <c r="I166" i="21"/>
  <c r="D166" i="21"/>
  <c r="G166" i="21"/>
  <c r="I167" i="21"/>
  <c r="D167" i="21"/>
  <c r="G167" i="21"/>
  <c r="I168" i="21"/>
  <c r="D168" i="21"/>
  <c r="G168" i="21"/>
  <c r="I169" i="21"/>
  <c r="D169" i="21"/>
  <c r="G169" i="21"/>
  <c r="I170" i="21"/>
  <c r="D170" i="21"/>
  <c r="G170" i="21"/>
  <c r="I171" i="21"/>
  <c r="D171" i="21"/>
  <c r="G171" i="21"/>
  <c r="I172" i="21"/>
  <c r="D172" i="21"/>
  <c r="G172" i="21"/>
  <c r="I173" i="21"/>
  <c r="D173" i="21"/>
  <c r="G173" i="21"/>
  <c r="I174" i="21"/>
  <c r="D174" i="21"/>
  <c r="G174" i="21"/>
  <c r="I175" i="21"/>
  <c r="D175" i="21"/>
  <c r="G175" i="21"/>
  <c r="I176" i="21"/>
  <c r="D176" i="21"/>
  <c r="G176" i="21"/>
  <c r="I177" i="21"/>
  <c r="D177" i="21"/>
  <c r="G177" i="21"/>
  <c r="I178" i="21"/>
  <c r="D178" i="21"/>
  <c r="G178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98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22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146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70" i="21"/>
  <c r="F171" i="21"/>
  <c r="F172" i="21"/>
  <c r="F173" i="21"/>
  <c r="F174" i="21"/>
  <c r="F175" i="21"/>
  <c r="F176" i="21"/>
  <c r="F177" i="21"/>
  <c r="F178" i="21"/>
  <c r="H6" i="30"/>
  <c r="M11" i="30"/>
  <c r="M10" i="30"/>
  <c r="C15" i="30"/>
  <c r="F15" i="30"/>
  <c r="B15" i="30"/>
  <c r="E15" i="30"/>
  <c r="G15" i="30"/>
  <c r="J5" i="30"/>
  <c r="K15" i="30"/>
  <c r="L15" i="30"/>
  <c r="M15" i="30"/>
  <c r="B16" i="30"/>
  <c r="E16" i="30"/>
  <c r="C16" i="30"/>
  <c r="F16" i="30"/>
  <c r="K16" i="30"/>
  <c r="L16" i="30"/>
  <c r="M16" i="30"/>
  <c r="B17" i="30"/>
  <c r="E17" i="30"/>
  <c r="C17" i="30"/>
  <c r="F17" i="30"/>
  <c r="K17" i="30"/>
  <c r="L17" i="30"/>
  <c r="M17" i="30"/>
  <c r="B18" i="30"/>
  <c r="E18" i="30"/>
  <c r="C18" i="30"/>
  <c r="F18" i="30"/>
  <c r="K18" i="30"/>
  <c r="L18" i="30"/>
  <c r="M18" i="30"/>
  <c r="B19" i="30"/>
  <c r="E19" i="30"/>
  <c r="C19" i="30"/>
  <c r="F19" i="30"/>
  <c r="K19" i="30"/>
  <c r="L19" i="30"/>
  <c r="M19" i="30"/>
  <c r="B20" i="30"/>
  <c r="E20" i="30"/>
  <c r="C20" i="30"/>
  <c r="F20" i="30"/>
  <c r="K20" i="30"/>
  <c r="L20" i="30"/>
  <c r="M20" i="30"/>
  <c r="B21" i="30"/>
  <c r="E21" i="30"/>
  <c r="C21" i="30"/>
  <c r="F21" i="30"/>
  <c r="K21" i="30"/>
  <c r="L21" i="30"/>
  <c r="M21" i="30"/>
  <c r="B22" i="30"/>
  <c r="E22" i="30"/>
  <c r="C22" i="30"/>
  <c r="F22" i="30"/>
  <c r="K22" i="30"/>
  <c r="L22" i="30"/>
  <c r="M22" i="30"/>
  <c r="B23" i="30"/>
  <c r="E23" i="30"/>
  <c r="C23" i="30"/>
  <c r="F23" i="30"/>
  <c r="K23" i="30"/>
  <c r="L23" i="30"/>
  <c r="M23" i="30"/>
  <c r="B24" i="30"/>
  <c r="E24" i="30"/>
  <c r="C24" i="30"/>
  <c r="F24" i="30"/>
  <c r="K24" i="30"/>
  <c r="L24" i="30"/>
  <c r="M24" i="30"/>
  <c r="B25" i="30"/>
  <c r="E25" i="30"/>
  <c r="C25" i="30"/>
  <c r="F25" i="30"/>
  <c r="K25" i="30"/>
  <c r="L25" i="30"/>
  <c r="M25" i="30"/>
  <c r="B26" i="30"/>
  <c r="E26" i="30"/>
  <c r="C26" i="30"/>
  <c r="F26" i="30"/>
  <c r="K26" i="30"/>
  <c r="L26" i="30"/>
  <c r="M26" i="30"/>
  <c r="B27" i="30"/>
  <c r="E27" i="30"/>
  <c r="C27" i="30"/>
  <c r="F27" i="30"/>
  <c r="K27" i="30"/>
  <c r="L27" i="30"/>
  <c r="M27" i="30"/>
  <c r="B28" i="30"/>
  <c r="E28" i="30"/>
  <c r="C28" i="30"/>
  <c r="F28" i="30"/>
  <c r="K28" i="30"/>
  <c r="L28" i="30"/>
  <c r="M28" i="30"/>
  <c r="B29" i="30"/>
  <c r="E29" i="30"/>
  <c r="C29" i="30"/>
  <c r="F29" i="30"/>
  <c r="K29" i="30"/>
  <c r="L29" i="30"/>
  <c r="M29" i="30"/>
  <c r="B30" i="30"/>
  <c r="E30" i="30"/>
  <c r="C30" i="30"/>
  <c r="F30" i="30"/>
  <c r="K30" i="30"/>
  <c r="L30" i="30"/>
  <c r="M30" i="30"/>
  <c r="B31" i="30"/>
  <c r="E31" i="30"/>
  <c r="C31" i="30"/>
  <c r="F31" i="30"/>
  <c r="K31" i="30"/>
  <c r="L31" i="30"/>
  <c r="M31" i="30"/>
  <c r="B32" i="30"/>
  <c r="E32" i="30"/>
  <c r="C32" i="30"/>
  <c r="F32" i="30"/>
  <c r="K32" i="30"/>
  <c r="L32" i="30"/>
  <c r="M32" i="30"/>
  <c r="B33" i="30"/>
  <c r="E33" i="30"/>
  <c r="C33" i="30"/>
  <c r="F33" i="30"/>
  <c r="K33" i="30"/>
  <c r="L33" i="30"/>
  <c r="M33" i="30"/>
  <c r="B34" i="30"/>
  <c r="E34" i="30"/>
  <c r="C34" i="30"/>
  <c r="F34" i="30"/>
  <c r="K34" i="30"/>
  <c r="L34" i="30"/>
  <c r="M34" i="30"/>
  <c r="B35" i="30"/>
  <c r="E35" i="30"/>
  <c r="C35" i="30"/>
  <c r="F35" i="30"/>
  <c r="K35" i="30"/>
  <c r="L35" i="30"/>
  <c r="M35" i="30"/>
  <c r="B36" i="30"/>
  <c r="E36" i="30"/>
  <c r="C36" i="30"/>
  <c r="F36" i="30"/>
  <c r="D36" i="30"/>
  <c r="K36" i="30"/>
  <c r="L36" i="30"/>
  <c r="M36" i="30"/>
  <c r="B37" i="30"/>
  <c r="E37" i="30"/>
  <c r="C37" i="30"/>
  <c r="F37" i="30"/>
  <c r="D37" i="30"/>
  <c r="K37" i="30"/>
  <c r="L37" i="30"/>
  <c r="M37" i="30"/>
  <c r="B38" i="30"/>
  <c r="E38" i="30"/>
  <c r="C38" i="30"/>
  <c r="F38" i="30"/>
  <c r="D38" i="30"/>
  <c r="K38" i="30"/>
  <c r="L38" i="30"/>
  <c r="M38" i="30"/>
  <c r="B39" i="30"/>
  <c r="E39" i="30"/>
  <c r="C39" i="30"/>
  <c r="F39" i="30"/>
  <c r="D39" i="30"/>
  <c r="K39" i="30"/>
  <c r="L39" i="30"/>
  <c r="M39" i="30"/>
  <c r="B40" i="30"/>
  <c r="E40" i="30"/>
  <c r="C40" i="30"/>
  <c r="F40" i="30"/>
  <c r="D40" i="30"/>
  <c r="K40" i="30"/>
  <c r="L40" i="30"/>
  <c r="M40" i="30"/>
  <c r="B41" i="30"/>
  <c r="E41" i="30"/>
  <c r="C41" i="30"/>
  <c r="F41" i="30"/>
  <c r="D41" i="30"/>
  <c r="K41" i="30"/>
  <c r="L41" i="30"/>
  <c r="M41" i="30"/>
  <c r="B42" i="30"/>
  <c r="E42" i="30"/>
  <c r="C42" i="30"/>
  <c r="F42" i="30"/>
  <c r="D42" i="30"/>
  <c r="K42" i="30"/>
  <c r="L42" i="30"/>
  <c r="M42" i="30"/>
  <c r="B43" i="30"/>
  <c r="E43" i="30"/>
  <c r="C43" i="30"/>
  <c r="F43" i="30"/>
  <c r="D43" i="30"/>
  <c r="K43" i="30"/>
  <c r="L43" i="30"/>
  <c r="M43" i="30"/>
  <c r="B44" i="30"/>
  <c r="E44" i="30"/>
  <c r="C44" i="30"/>
  <c r="F44" i="30"/>
  <c r="D44" i="30"/>
  <c r="K44" i="30"/>
  <c r="L44" i="30"/>
  <c r="M44" i="30"/>
  <c r="B45" i="30"/>
  <c r="E45" i="30"/>
  <c r="C45" i="30"/>
  <c r="F45" i="30"/>
  <c r="D45" i="30"/>
  <c r="K45" i="30"/>
  <c r="L45" i="30"/>
  <c r="M45" i="30"/>
  <c r="B46" i="30"/>
  <c r="E46" i="30"/>
  <c r="C46" i="30"/>
  <c r="F46" i="30"/>
  <c r="D46" i="30"/>
  <c r="K46" i="30"/>
  <c r="L46" i="30"/>
  <c r="M46" i="30"/>
  <c r="B47" i="30"/>
  <c r="E47" i="30"/>
  <c r="C47" i="30"/>
  <c r="F47" i="30"/>
  <c r="D47" i="30"/>
  <c r="K47" i="30"/>
  <c r="L47" i="30"/>
  <c r="M47" i="30"/>
  <c r="B48" i="30"/>
  <c r="E48" i="30"/>
  <c r="C48" i="30"/>
  <c r="F48" i="30"/>
  <c r="D48" i="30"/>
  <c r="K48" i="30"/>
  <c r="L48" i="30"/>
  <c r="M48" i="30"/>
  <c r="B49" i="30"/>
  <c r="E49" i="30"/>
  <c r="C49" i="30"/>
  <c r="F49" i="30"/>
  <c r="D49" i="30"/>
  <c r="K49" i="30"/>
  <c r="L49" i="30"/>
  <c r="M49" i="30"/>
  <c r="B50" i="30"/>
  <c r="E50" i="30"/>
  <c r="C50" i="30"/>
  <c r="F50" i="30"/>
  <c r="D50" i="30"/>
  <c r="K50" i="30"/>
  <c r="L50" i="30"/>
  <c r="M50" i="30"/>
  <c r="B51" i="30"/>
  <c r="E51" i="30"/>
  <c r="C51" i="30"/>
  <c r="F51" i="30"/>
  <c r="D51" i="30"/>
  <c r="K51" i="30"/>
  <c r="L51" i="30"/>
  <c r="M51" i="30"/>
  <c r="B52" i="30"/>
  <c r="E52" i="30"/>
  <c r="C52" i="30"/>
  <c r="F52" i="30"/>
  <c r="D52" i="30"/>
  <c r="K52" i="30"/>
  <c r="L52" i="30"/>
  <c r="M52" i="30"/>
  <c r="B53" i="30"/>
  <c r="E53" i="30"/>
  <c r="C53" i="30"/>
  <c r="F53" i="30"/>
  <c r="D53" i="30"/>
  <c r="K53" i="30"/>
  <c r="L53" i="30"/>
  <c r="M53" i="30"/>
  <c r="B54" i="30"/>
  <c r="E54" i="30"/>
  <c r="C54" i="30"/>
  <c r="F54" i="30"/>
  <c r="D54" i="30"/>
  <c r="K54" i="30"/>
  <c r="L54" i="30"/>
  <c r="M54" i="30"/>
  <c r="B55" i="30"/>
  <c r="E55" i="30"/>
  <c r="C55" i="30"/>
  <c r="F55" i="30"/>
  <c r="D55" i="30"/>
  <c r="K55" i="30"/>
  <c r="L55" i="30"/>
  <c r="M55" i="30"/>
  <c r="B56" i="30"/>
  <c r="E56" i="30"/>
  <c r="C56" i="30"/>
  <c r="F56" i="30"/>
  <c r="D56" i="30"/>
  <c r="K56" i="30"/>
  <c r="L56" i="30"/>
  <c r="M56" i="30"/>
  <c r="B57" i="30"/>
  <c r="E57" i="30"/>
  <c r="C57" i="30"/>
  <c r="F57" i="30"/>
  <c r="D57" i="30"/>
  <c r="K57" i="30"/>
  <c r="L57" i="30"/>
  <c r="M57" i="30"/>
  <c r="B58" i="30"/>
  <c r="E58" i="30"/>
  <c r="C58" i="30"/>
  <c r="F58" i="30"/>
  <c r="D58" i="30"/>
  <c r="K58" i="30"/>
  <c r="L58" i="30"/>
  <c r="M58" i="30"/>
  <c r="B59" i="30"/>
  <c r="E59" i="30"/>
  <c r="C59" i="30"/>
  <c r="F59" i="30"/>
  <c r="D59" i="30"/>
  <c r="K59" i="30"/>
  <c r="L59" i="30"/>
  <c r="M59" i="30"/>
  <c r="B60" i="30"/>
  <c r="E60" i="30"/>
  <c r="C60" i="30"/>
  <c r="F60" i="30"/>
  <c r="D60" i="30"/>
  <c r="K60" i="30"/>
  <c r="L60" i="30"/>
  <c r="M60" i="30"/>
  <c r="B61" i="30"/>
  <c r="E61" i="30"/>
  <c r="C61" i="30"/>
  <c r="F61" i="30"/>
  <c r="D61" i="30"/>
  <c r="K61" i="30"/>
  <c r="L61" i="30"/>
  <c r="M61" i="30"/>
  <c r="B62" i="30"/>
  <c r="E62" i="30"/>
  <c r="C62" i="30"/>
  <c r="F62" i="30"/>
  <c r="D62" i="30"/>
  <c r="K62" i="30"/>
  <c r="L62" i="30"/>
  <c r="M62" i="30"/>
  <c r="B63" i="30"/>
  <c r="E63" i="30"/>
  <c r="C63" i="30"/>
  <c r="F63" i="30"/>
  <c r="D63" i="30"/>
  <c r="K63" i="30"/>
  <c r="L63" i="30"/>
  <c r="M63" i="30"/>
  <c r="B64" i="30"/>
  <c r="E64" i="30"/>
  <c r="C64" i="30"/>
  <c r="F64" i="30"/>
  <c r="D64" i="30"/>
  <c r="K64" i="30"/>
  <c r="L64" i="30"/>
  <c r="M64" i="30"/>
  <c r="B65" i="30"/>
  <c r="E65" i="30"/>
  <c r="C65" i="30"/>
  <c r="F65" i="30"/>
  <c r="D65" i="30"/>
  <c r="K65" i="30"/>
  <c r="L65" i="30"/>
  <c r="M65" i="30"/>
  <c r="B66" i="30"/>
  <c r="E66" i="30"/>
  <c r="C66" i="30"/>
  <c r="F66" i="30"/>
  <c r="D66" i="30"/>
  <c r="K66" i="30"/>
  <c r="L66" i="30"/>
  <c r="M66" i="30"/>
  <c r="B67" i="30"/>
  <c r="E67" i="30"/>
  <c r="C67" i="30"/>
  <c r="F67" i="30"/>
  <c r="D67" i="30"/>
  <c r="K67" i="30"/>
  <c r="L67" i="30"/>
  <c r="M67" i="30"/>
  <c r="B68" i="30"/>
  <c r="E68" i="30"/>
  <c r="C68" i="30"/>
  <c r="F68" i="30"/>
  <c r="D68" i="30"/>
  <c r="K68" i="30"/>
  <c r="L68" i="30"/>
  <c r="M68" i="30"/>
  <c r="B69" i="30"/>
  <c r="E69" i="30"/>
  <c r="C69" i="30"/>
  <c r="F69" i="30"/>
  <c r="K69" i="30"/>
  <c r="L69" i="30"/>
  <c r="M69" i="30"/>
  <c r="B70" i="30"/>
  <c r="E70" i="30"/>
  <c r="C70" i="30"/>
  <c r="F70" i="30"/>
  <c r="K70" i="30"/>
  <c r="L70" i="30"/>
  <c r="M70" i="30"/>
  <c r="B71" i="30"/>
  <c r="E71" i="30"/>
  <c r="C71" i="30"/>
  <c r="F71" i="30"/>
  <c r="K71" i="30"/>
  <c r="L71" i="30"/>
  <c r="M71" i="30"/>
  <c r="B72" i="30"/>
  <c r="E72" i="30"/>
  <c r="C72" i="30"/>
  <c r="F72" i="30"/>
  <c r="K72" i="30"/>
  <c r="L72" i="30"/>
  <c r="M72" i="30"/>
  <c r="B73" i="30"/>
  <c r="E73" i="30"/>
  <c r="C73" i="30"/>
  <c r="F73" i="30"/>
  <c r="K73" i="30"/>
  <c r="L73" i="30"/>
  <c r="M73" i="30"/>
  <c r="B74" i="30"/>
  <c r="E74" i="30"/>
  <c r="C74" i="30"/>
  <c r="F74" i="30"/>
  <c r="K74" i="30"/>
  <c r="L74" i="30"/>
  <c r="M74" i="30"/>
  <c r="B75" i="30"/>
  <c r="E75" i="30"/>
  <c r="C75" i="30"/>
  <c r="F75" i="30"/>
  <c r="K75" i="30"/>
  <c r="L75" i="30"/>
  <c r="M75" i="30"/>
  <c r="B76" i="30"/>
  <c r="E76" i="30"/>
  <c r="C76" i="30"/>
  <c r="F76" i="30"/>
  <c r="K76" i="30"/>
  <c r="L76" i="30"/>
  <c r="M76" i="30"/>
  <c r="B77" i="30"/>
  <c r="E77" i="30"/>
  <c r="C77" i="30"/>
  <c r="F77" i="30"/>
  <c r="K77" i="30"/>
  <c r="L77" i="30"/>
  <c r="M77" i="30"/>
  <c r="B78" i="30"/>
  <c r="E78" i="30"/>
  <c r="C78" i="30"/>
  <c r="F78" i="30"/>
  <c r="K78" i="30"/>
  <c r="L78" i="30"/>
  <c r="M78" i="30"/>
  <c r="B79" i="30"/>
  <c r="E79" i="30"/>
  <c r="C79" i="30"/>
  <c r="F79" i="30"/>
  <c r="K79" i="30"/>
  <c r="L79" i="30"/>
  <c r="M79" i="30"/>
  <c r="B80" i="30"/>
  <c r="E80" i="30"/>
  <c r="C80" i="30"/>
  <c r="F80" i="30"/>
  <c r="K80" i="30"/>
  <c r="L80" i="30"/>
  <c r="M80" i="30"/>
  <c r="B81" i="30"/>
  <c r="E81" i="30"/>
  <c r="C81" i="30"/>
  <c r="F81" i="30"/>
  <c r="K81" i="30"/>
  <c r="L81" i="30"/>
  <c r="M81" i="30"/>
  <c r="B82" i="30"/>
  <c r="E82" i="30"/>
  <c r="C82" i="30"/>
  <c r="F82" i="30"/>
  <c r="K82" i="30"/>
  <c r="L82" i="30"/>
  <c r="M82" i="30"/>
  <c r="B83" i="30"/>
  <c r="E83" i="30"/>
  <c r="C83" i="30"/>
  <c r="F83" i="30"/>
  <c r="K83" i="30"/>
  <c r="L83" i="30"/>
  <c r="M83" i="30"/>
  <c r="B84" i="30"/>
  <c r="E84" i="30"/>
  <c r="C84" i="30"/>
  <c r="F84" i="30"/>
  <c r="K84" i="30"/>
  <c r="L84" i="30"/>
  <c r="M84" i="30"/>
  <c r="B85" i="30"/>
  <c r="E85" i="30"/>
  <c r="C85" i="30"/>
  <c r="F85" i="30"/>
  <c r="K85" i="30"/>
  <c r="L85" i="30"/>
  <c r="M85" i="30"/>
  <c r="B86" i="30"/>
  <c r="E86" i="30"/>
  <c r="C86" i="30"/>
  <c r="F86" i="30"/>
  <c r="K86" i="30"/>
  <c r="L86" i="30"/>
  <c r="M86" i="30"/>
  <c r="B87" i="30"/>
  <c r="E87" i="30"/>
  <c r="C87" i="30"/>
  <c r="F87" i="30"/>
  <c r="K87" i="30"/>
  <c r="L87" i="30"/>
  <c r="M87" i="30"/>
  <c r="B88" i="30"/>
  <c r="E88" i="30"/>
  <c r="C88" i="30"/>
  <c r="F88" i="30"/>
  <c r="K88" i="30"/>
  <c r="L88" i="30"/>
  <c r="M88" i="30"/>
  <c r="B89" i="30"/>
  <c r="E89" i="30"/>
  <c r="C89" i="30"/>
  <c r="F89" i="30"/>
  <c r="K89" i="30"/>
  <c r="L89" i="30"/>
  <c r="M89" i="30"/>
  <c r="B90" i="30"/>
  <c r="E90" i="30"/>
  <c r="C90" i="30"/>
  <c r="F90" i="30"/>
  <c r="K90" i="30"/>
  <c r="L90" i="30"/>
  <c r="M90" i="30"/>
  <c r="B91" i="30"/>
  <c r="E91" i="30"/>
  <c r="C91" i="30"/>
  <c r="F91" i="30"/>
  <c r="K91" i="30"/>
  <c r="L91" i="30"/>
  <c r="M91" i="30"/>
  <c r="B92" i="30"/>
  <c r="E92" i="30"/>
  <c r="C92" i="30"/>
  <c r="F92" i="30"/>
  <c r="K92" i="30"/>
  <c r="L92" i="30"/>
  <c r="M92" i="30"/>
  <c r="B93" i="30"/>
  <c r="E93" i="30"/>
  <c r="C93" i="30"/>
  <c r="F93" i="30"/>
  <c r="K93" i="30"/>
  <c r="L93" i="30"/>
  <c r="M93" i="30"/>
  <c r="B94" i="30"/>
  <c r="E94" i="30"/>
  <c r="C94" i="30"/>
  <c r="F94" i="30"/>
  <c r="K94" i="30"/>
  <c r="L94" i="30"/>
  <c r="M94" i="30"/>
  <c r="B95" i="30"/>
  <c r="E95" i="30"/>
  <c r="C95" i="30"/>
  <c r="F95" i="30"/>
  <c r="K95" i="30"/>
  <c r="L95" i="30"/>
  <c r="M95" i="30"/>
  <c r="B96" i="30"/>
  <c r="E96" i="30"/>
  <c r="C96" i="30"/>
  <c r="F96" i="30"/>
  <c r="K96" i="30"/>
  <c r="L96" i="30"/>
  <c r="M96" i="30"/>
  <c r="B97" i="30"/>
  <c r="E97" i="30"/>
  <c r="C97" i="30"/>
  <c r="F97" i="30"/>
  <c r="K97" i="30"/>
  <c r="L97" i="30"/>
  <c r="M97" i="30"/>
  <c r="B98" i="30"/>
  <c r="E98" i="30"/>
  <c r="C98" i="30"/>
  <c r="F98" i="30"/>
  <c r="K98" i="30"/>
  <c r="L98" i="30"/>
  <c r="M98" i="30"/>
  <c r="B99" i="30"/>
  <c r="E99" i="30"/>
  <c r="I15" i="30"/>
  <c r="L14" i="30"/>
  <c r="N16" i="30"/>
  <c r="N17" i="30"/>
  <c r="N18" i="30"/>
  <c r="N19" i="30"/>
  <c r="N20" i="30"/>
  <c r="N21" i="30"/>
  <c r="N22" i="30"/>
  <c r="N23" i="30"/>
  <c r="N24" i="30"/>
  <c r="N25" i="30"/>
  <c r="N26" i="30"/>
  <c r="N27" i="30"/>
  <c r="N28" i="30"/>
  <c r="N29" i="30"/>
  <c r="N30" i="30"/>
  <c r="N31" i="30"/>
  <c r="N32" i="30"/>
  <c r="N33" i="30"/>
  <c r="N34" i="30"/>
  <c r="N35" i="30"/>
  <c r="N36" i="30"/>
  <c r="N37" i="30"/>
  <c r="N38" i="30"/>
  <c r="N39" i="30"/>
  <c r="N40" i="30"/>
  <c r="N41" i="30"/>
  <c r="N42" i="30"/>
  <c r="N43" i="30"/>
  <c r="N44" i="30"/>
  <c r="N45" i="30"/>
  <c r="N46" i="30"/>
  <c r="N47" i="30"/>
  <c r="N48" i="30"/>
  <c r="N49" i="30"/>
  <c r="N50" i="30"/>
  <c r="N51" i="30"/>
  <c r="N52" i="30"/>
  <c r="N53" i="30"/>
  <c r="N54" i="30"/>
  <c r="N55" i="30"/>
  <c r="N56" i="30"/>
  <c r="N57" i="30"/>
  <c r="N58" i="30"/>
  <c r="N59" i="30"/>
  <c r="N60" i="30"/>
  <c r="N61" i="30"/>
  <c r="N62" i="30"/>
  <c r="N63" i="30"/>
  <c r="N64" i="30"/>
  <c r="N65" i="30"/>
  <c r="N66" i="30"/>
  <c r="N67" i="30"/>
  <c r="N68" i="30"/>
  <c r="N69" i="30"/>
  <c r="N70" i="30"/>
  <c r="N71" i="30"/>
  <c r="N72" i="30"/>
  <c r="N73" i="30"/>
  <c r="N74" i="30"/>
  <c r="N75" i="30"/>
  <c r="N76" i="30"/>
  <c r="N77" i="30"/>
  <c r="N78" i="30"/>
  <c r="N79" i="30"/>
  <c r="N80" i="30"/>
  <c r="N81" i="30"/>
  <c r="N82" i="30"/>
  <c r="N83" i="30"/>
  <c r="N84" i="30"/>
  <c r="N85" i="30"/>
  <c r="N86" i="30"/>
  <c r="N87" i="30"/>
  <c r="N88" i="30"/>
  <c r="N89" i="30"/>
  <c r="N90" i="30"/>
  <c r="N91" i="30"/>
  <c r="N92" i="30"/>
  <c r="N93" i="30"/>
  <c r="N94" i="30"/>
  <c r="N95" i="30"/>
  <c r="N96" i="30"/>
  <c r="N97" i="30"/>
  <c r="N98" i="30"/>
  <c r="N99" i="30"/>
  <c r="N15" i="30"/>
  <c r="C99" i="30"/>
  <c r="F99" i="30"/>
  <c r="K99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J36" i="30"/>
  <c r="J37" i="30"/>
  <c r="J38" i="30"/>
  <c r="J39" i="30"/>
  <c r="J40" i="30"/>
  <c r="J41" i="30"/>
  <c r="J42" i="30"/>
  <c r="J43" i="30"/>
  <c r="J44" i="30"/>
  <c r="J45" i="30"/>
  <c r="J46" i="30"/>
  <c r="J47" i="30"/>
  <c r="J48" i="30"/>
  <c r="J49" i="30"/>
  <c r="J50" i="30"/>
  <c r="J51" i="30"/>
  <c r="J52" i="30"/>
  <c r="J53" i="30"/>
  <c r="J54" i="30"/>
  <c r="J55" i="30"/>
  <c r="J56" i="30"/>
  <c r="J57" i="30"/>
  <c r="J58" i="30"/>
  <c r="J59" i="30"/>
  <c r="J60" i="30"/>
  <c r="J61" i="30"/>
  <c r="J62" i="30"/>
  <c r="J63" i="30"/>
  <c r="J64" i="30"/>
  <c r="J65" i="30"/>
  <c r="J66" i="30"/>
  <c r="J67" i="30"/>
  <c r="J68" i="30"/>
  <c r="J69" i="30"/>
  <c r="J70" i="30"/>
  <c r="J71" i="30"/>
  <c r="J72" i="30"/>
  <c r="J73" i="30"/>
  <c r="J74" i="30"/>
  <c r="J75" i="30"/>
  <c r="J76" i="30"/>
  <c r="J77" i="30"/>
  <c r="J78" i="30"/>
  <c r="J79" i="30"/>
  <c r="J80" i="30"/>
  <c r="J81" i="30"/>
  <c r="J82" i="30"/>
  <c r="J83" i="30"/>
  <c r="J84" i="30"/>
  <c r="J85" i="30"/>
  <c r="J86" i="30"/>
  <c r="J87" i="30"/>
  <c r="J88" i="30"/>
  <c r="J89" i="30"/>
  <c r="J90" i="30"/>
  <c r="J91" i="30"/>
  <c r="J92" i="30"/>
  <c r="J93" i="30"/>
  <c r="J94" i="30"/>
  <c r="J95" i="30"/>
  <c r="J96" i="30"/>
  <c r="J97" i="30"/>
  <c r="J98" i="30"/>
  <c r="J99" i="30"/>
  <c r="J15" i="30"/>
  <c r="J14" i="30"/>
  <c r="I16" i="30"/>
  <c r="I17" i="30"/>
  <c r="I18" i="30"/>
  <c r="I19" i="30"/>
  <c r="I20" i="30"/>
  <c r="I21" i="30"/>
  <c r="I22" i="30"/>
  <c r="I23" i="30"/>
  <c r="I24" i="30"/>
  <c r="I25" i="30"/>
  <c r="I26" i="30"/>
  <c r="I27" i="30"/>
  <c r="I28" i="30"/>
  <c r="I29" i="30"/>
  <c r="I30" i="30"/>
  <c r="I31" i="30"/>
  <c r="I32" i="30"/>
  <c r="I33" i="30"/>
  <c r="I34" i="30"/>
  <c r="I35" i="30"/>
  <c r="I36" i="30"/>
  <c r="I37" i="30"/>
  <c r="I38" i="30"/>
  <c r="I39" i="30"/>
  <c r="I40" i="30"/>
  <c r="I41" i="30"/>
  <c r="I42" i="30"/>
  <c r="I43" i="30"/>
  <c r="I44" i="30"/>
  <c r="I45" i="30"/>
  <c r="I46" i="30"/>
  <c r="I47" i="30"/>
  <c r="I48" i="30"/>
  <c r="I49" i="30"/>
  <c r="I50" i="30"/>
  <c r="I51" i="30"/>
  <c r="I52" i="30"/>
  <c r="I53" i="30"/>
  <c r="I54" i="30"/>
  <c r="I55" i="30"/>
  <c r="I56" i="30"/>
  <c r="I57" i="30"/>
  <c r="I58" i="30"/>
  <c r="I59" i="30"/>
  <c r="I60" i="30"/>
  <c r="I61" i="30"/>
  <c r="I62" i="30"/>
  <c r="I63" i="30"/>
  <c r="I64" i="30"/>
  <c r="I65" i="30"/>
  <c r="I66" i="30"/>
  <c r="I67" i="30"/>
  <c r="I68" i="30"/>
  <c r="I69" i="30"/>
  <c r="I70" i="30"/>
  <c r="I71" i="30"/>
  <c r="I72" i="30"/>
  <c r="I73" i="30"/>
  <c r="I74" i="30"/>
  <c r="I75" i="30"/>
  <c r="I76" i="30"/>
  <c r="I77" i="30"/>
  <c r="I78" i="30"/>
  <c r="I79" i="30"/>
  <c r="I80" i="30"/>
  <c r="I81" i="30"/>
  <c r="I82" i="30"/>
  <c r="I83" i="30"/>
  <c r="I84" i="30"/>
  <c r="I85" i="30"/>
  <c r="I86" i="30"/>
  <c r="I87" i="30"/>
  <c r="I88" i="30"/>
  <c r="I89" i="30"/>
  <c r="I90" i="30"/>
  <c r="I91" i="30"/>
  <c r="I92" i="30"/>
  <c r="I93" i="30"/>
  <c r="I94" i="30"/>
  <c r="I95" i="30"/>
  <c r="I96" i="30"/>
  <c r="I97" i="30"/>
  <c r="I98" i="30"/>
  <c r="I99" i="30"/>
  <c r="I14" i="30"/>
  <c r="H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G93" i="30"/>
  <c r="G94" i="30"/>
  <c r="G95" i="30"/>
  <c r="G96" i="30"/>
  <c r="G97" i="30"/>
  <c r="G98" i="30"/>
  <c r="G99" i="30"/>
  <c r="F14" i="30"/>
  <c r="C14" i="30"/>
  <c r="B14" i="30"/>
  <c r="M5" i="30"/>
  <c r="M6" i="30"/>
  <c r="B5" i="30"/>
  <c r="E5" i="30"/>
  <c r="H5" i="30"/>
  <c r="E14" i="30"/>
  <c r="M8" i="30"/>
  <c r="M7" i="30"/>
  <c r="L99" i="30"/>
  <c r="M99" i="30"/>
  <c r="O99" i="30"/>
  <c r="H99" i="30"/>
  <c r="O98" i="30"/>
  <c r="H98" i="30"/>
  <c r="O97" i="30"/>
  <c r="H97" i="30"/>
  <c r="O96" i="30"/>
  <c r="H96" i="30"/>
  <c r="O95" i="30"/>
  <c r="H95" i="30"/>
  <c r="O94" i="30"/>
  <c r="H94" i="30"/>
  <c r="O93" i="30"/>
  <c r="H93" i="30"/>
  <c r="O92" i="30"/>
  <c r="H92" i="30"/>
  <c r="O91" i="30"/>
  <c r="H91" i="30"/>
  <c r="O90" i="30"/>
  <c r="H90" i="30"/>
  <c r="O89" i="30"/>
  <c r="H89" i="30"/>
  <c r="O88" i="30"/>
  <c r="H88" i="30"/>
  <c r="O87" i="30"/>
  <c r="H87" i="30"/>
  <c r="O86" i="30"/>
  <c r="H86" i="30"/>
  <c r="O85" i="30"/>
  <c r="H85" i="30"/>
  <c r="O84" i="30"/>
  <c r="H84" i="30"/>
  <c r="O83" i="30"/>
  <c r="H83" i="30"/>
  <c r="O82" i="30"/>
  <c r="H82" i="30"/>
  <c r="O81" i="30"/>
  <c r="H81" i="30"/>
  <c r="O80" i="30"/>
  <c r="H80" i="30"/>
  <c r="O79" i="30"/>
  <c r="H79" i="30"/>
  <c r="O78" i="30"/>
  <c r="H78" i="30"/>
  <c r="O77" i="30"/>
  <c r="H77" i="30"/>
  <c r="O76" i="30"/>
  <c r="H76" i="30"/>
  <c r="O75" i="30"/>
  <c r="H75" i="30"/>
  <c r="O74" i="30"/>
  <c r="H74" i="30"/>
  <c r="O73" i="30"/>
  <c r="H73" i="30"/>
  <c r="O72" i="30"/>
  <c r="H72" i="30"/>
  <c r="O71" i="30"/>
  <c r="H71" i="30"/>
  <c r="O70" i="30"/>
  <c r="H70" i="30"/>
  <c r="O69" i="30"/>
  <c r="H69" i="30"/>
  <c r="O68" i="30"/>
  <c r="H68" i="30"/>
  <c r="O67" i="30"/>
  <c r="H67" i="30"/>
  <c r="O66" i="30"/>
  <c r="H66" i="30"/>
  <c r="O65" i="30"/>
  <c r="H65" i="30"/>
  <c r="O64" i="30"/>
  <c r="H64" i="30"/>
  <c r="O63" i="30"/>
  <c r="H63" i="30"/>
  <c r="O62" i="30"/>
  <c r="H62" i="30"/>
  <c r="O61" i="30"/>
  <c r="H61" i="30"/>
  <c r="O60" i="30"/>
  <c r="H60" i="30"/>
  <c r="O59" i="30"/>
  <c r="H59" i="30"/>
  <c r="O58" i="30"/>
  <c r="H58" i="30"/>
  <c r="O57" i="30"/>
  <c r="H57" i="30"/>
  <c r="O56" i="30"/>
  <c r="H56" i="30"/>
  <c r="O55" i="30"/>
  <c r="H55" i="30"/>
  <c r="O54" i="30"/>
  <c r="H54" i="30"/>
  <c r="O53" i="30"/>
  <c r="H53" i="30"/>
  <c r="O52" i="30"/>
  <c r="H52" i="30"/>
  <c r="O51" i="30"/>
  <c r="H51" i="30"/>
  <c r="O50" i="30"/>
  <c r="H50" i="30"/>
  <c r="O49" i="30"/>
  <c r="H49" i="30"/>
  <c r="O48" i="30"/>
  <c r="H48" i="30"/>
  <c r="O47" i="30"/>
  <c r="H47" i="30"/>
  <c r="O46" i="30"/>
  <c r="H46" i="30"/>
  <c r="O45" i="30"/>
  <c r="H45" i="30"/>
  <c r="O44" i="30"/>
  <c r="H44" i="30"/>
  <c r="O43" i="30"/>
  <c r="H43" i="30"/>
  <c r="O42" i="30"/>
  <c r="H42" i="30"/>
  <c r="O41" i="30"/>
  <c r="H41" i="30"/>
  <c r="O40" i="30"/>
  <c r="H40" i="30"/>
  <c r="O39" i="30"/>
  <c r="H39" i="30"/>
  <c r="O38" i="30"/>
  <c r="H38" i="30"/>
  <c r="O37" i="30"/>
  <c r="H37" i="30"/>
  <c r="O36" i="30"/>
  <c r="H36" i="30"/>
  <c r="O35" i="30"/>
  <c r="H35" i="30"/>
  <c r="O34" i="30"/>
  <c r="H34" i="30"/>
  <c r="O33" i="30"/>
  <c r="H33" i="30"/>
  <c r="O32" i="30"/>
  <c r="H32" i="30"/>
  <c r="O31" i="30"/>
  <c r="H31" i="30"/>
  <c r="O30" i="30"/>
  <c r="H30" i="30"/>
  <c r="O29" i="30"/>
  <c r="H29" i="30"/>
  <c r="O28" i="30"/>
  <c r="H28" i="30"/>
  <c r="O27" i="30"/>
  <c r="H27" i="30"/>
  <c r="O26" i="30"/>
  <c r="H26" i="30"/>
  <c r="O25" i="30"/>
  <c r="H25" i="30"/>
  <c r="O24" i="30"/>
  <c r="H24" i="30"/>
  <c r="O23" i="30"/>
  <c r="H23" i="30"/>
  <c r="O22" i="30"/>
  <c r="H22" i="30"/>
  <c r="O21" i="30"/>
  <c r="H21" i="30"/>
  <c r="O20" i="30"/>
  <c r="H20" i="30"/>
  <c r="O19" i="30"/>
  <c r="H19" i="30"/>
  <c r="O18" i="30"/>
  <c r="H18" i="30"/>
  <c r="O17" i="30"/>
  <c r="H17" i="30"/>
  <c r="O16" i="30"/>
  <c r="H16" i="30"/>
  <c r="O15" i="30"/>
  <c r="B15" i="28"/>
  <c r="D15" i="28"/>
  <c r="H15" i="28"/>
  <c r="I15" i="28"/>
  <c r="J15" i="28"/>
  <c r="L15" i="28"/>
  <c r="K16" i="28"/>
  <c r="K17" i="28"/>
  <c r="K18" i="28"/>
  <c r="K19" i="28"/>
  <c r="K20" i="28"/>
  <c r="K21" i="28"/>
  <c r="K22" i="28"/>
  <c r="K23" i="28"/>
  <c r="K24" i="28"/>
  <c r="K25" i="28"/>
  <c r="K26" i="28"/>
  <c r="K27" i="28"/>
  <c r="K28" i="28"/>
  <c r="K29" i="28"/>
  <c r="K30" i="28"/>
  <c r="K31" i="28"/>
  <c r="K32" i="28"/>
  <c r="K33" i="28"/>
  <c r="K34" i="28"/>
  <c r="K35" i="28"/>
  <c r="K36" i="28"/>
  <c r="K37" i="28"/>
  <c r="K38" i="28"/>
  <c r="K39" i="28"/>
  <c r="K40" i="28"/>
  <c r="K41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K54" i="28"/>
  <c r="K55" i="28"/>
  <c r="K56" i="28"/>
  <c r="K57" i="28"/>
  <c r="K58" i="28"/>
  <c r="K59" i="28"/>
  <c r="K60" i="28"/>
  <c r="K61" i="28"/>
  <c r="K62" i="28"/>
  <c r="K63" i="28"/>
  <c r="K64" i="28"/>
  <c r="K65" i="28"/>
  <c r="K66" i="28"/>
  <c r="K67" i="28"/>
  <c r="K68" i="28"/>
  <c r="K69" i="28"/>
  <c r="K70" i="28"/>
  <c r="K71" i="28"/>
  <c r="K72" i="28"/>
  <c r="K73" i="28"/>
  <c r="K74" i="28"/>
  <c r="K75" i="28"/>
  <c r="K76" i="28"/>
  <c r="K77" i="28"/>
  <c r="K78" i="28"/>
  <c r="K79" i="28"/>
  <c r="K80" i="28"/>
  <c r="K81" i="28"/>
  <c r="K82" i="28"/>
  <c r="K83" i="28"/>
  <c r="K84" i="28"/>
  <c r="K85" i="28"/>
  <c r="K86" i="28"/>
  <c r="K87" i="28"/>
  <c r="K88" i="28"/>
  <c r="K89" i="28"/>
  <c r="K90" i="28"/>
  <c r="K91" i="28"/>
  <c r="K92" i="28"/>
  <c r="K93" i="28"/>
  <c r="K94" i="28"/>
  <c r="K95" i="28"/>
  <c r="K96" i="28"/>
  <c r="K97" i="28"/>
  <c r="K98" i="28"/>
  <c r="K99" i="28"/>
  <c r="K15" i="28"/>
  <c r="L6" i="28"/>
  <c r="L7" i="28"/>
  <c r="B16" i="28"/>
  <c r="D16" i="28"/>
  <c r="H16" i="28"/>
  <c r="I16" i="28"/>
  <c r="J16" i="28"/>
  <c r="L16" i="28"/>
  <c r="B17" i="28"/>
  <c r="D17" i="28"/>
  <c r="H17" i="28"/>
  <c r="I17" i="28"/>
  <c r="J17" i="28"/>
  <c r="L17" i="28"/>
  <c r="B18" i="28"/>
  <c r="D18" i="28"/>
  <c r="H18" i="28"/>
  <c r="I18" i="28"/>
  <c r="J18" i="28"/>
  <c r="L18" i="28"/>
  <c r="B19" i="28"/>
  <c r="D19" i="28"/>
  <c r="H19" i="28"/>
  <c r="I19" i="28"/>
  <c r="J19" i="28"/>
  <c r="L19" i="28"/>
  <c r="B20" i="28"/>
  <c r="D20" i="28"/>
  <c r="H20" i="28"/>
  <c r="I20" i="28"/>
  <c r="J20" i="28"/>
  <c r="L20" i="28"/>
  <c r="B21" i="28"/>
  <c r="D21" i="28"/>
  <c r="H21" i="28"/>
  <c r="I21" i="28"/>
  <c r="J21" i="28"/>
  <c r="L21" i="28"/>
  <c r="B22" i="28"/>
  <c r="D22" i="28"/>
  <c r="H22" i="28"/>
  <c r="I22" i="28"/>
  <c r="J22" i="28"/>
  <c r="L22" i="28"/>
  <c r="B23" i="28"/>
  <c r="D23" i="28"/>
  <c r="H23" i="28"/>
  <c r="I23" i="28"/>
  <c r="J23" i="28"/>
  <c r="L23" i="28"/>
  <c r="B24" i="28"/>
  <c r="D24" i="28"/>
  <c r="H24" i="28"/>
  <c r="I24" i="28"/>
  <c r="J24" i="28"/>
  <c r="L24" i="28"/>
  <c r="B25" i="28"/>
  <c r="D25" i="28"/>
  <c r="H25" i="28"/>
  <c r="I25" i="28"/>
  <c r="J25" i="28"/>
  <c r="L25" i="28"/>
  <c r="B26" i="28"/>
  <c r="D26" i="28"/>
  <c r="H26" i="28"/>
  <c r="I26" i="28"/>
  <c r="J26" i="28"/>
  <c r="L26" i="28"/>
  <c r="B27" i="28"/>
  <c r="D27" i="28"/>
  <c r="H27" i="28"/>
  <c r="I27" i="28"/>
  <c r="J27" i="28"/>
  <c r="L27" i="28"/>
  <c r="B28" i="28"/>
  <c r="D28" i="28"/>
  <c r="H28" i="28"/>
  <c r="I28" i="28"/>
  <c r="J28" i="28"/>
  <c r="L28" i="28"/>
  <c r="B29" i="28"/>
  <c r="D29" i="28"/>
  <c r="H29" i="28"/>
  <c r="I29" i="28"/>
  <c r="J29" i="28"/>
  <c r="L29" i="28"/>
  <c r="B30" i="28"/>
  <c r="D30" i="28"/>
  <c r="H30" i="28"/>
  <c r="I30" i="28"/>
  <c r="J30" i="28"/>
  <c r="L30" i="28"/>
  <c r="B31" i="28"/>
  <c r="D31" i="28"/>
  <c r="H31" i="28"/>
  <c r="I31" i="28"/>
  <c r="J31" i="28"/>
  <c r="L31" i="28"/>
  <c r="B32" i="28"/>
  <c r="D32" i="28"/>
  <c r="H32" i="28"/>
  <c r="I32" i="28"/>
  <c r="J32" i="28"/>
  <c r="L32" i="28"/>
  <c r="B33" i="28"/>
  <c r="D33" i="28"/>
  <c r="H33" i="28"/>
  <c r="I33" i="28"/>
  <c r="J33" i="28"/>
  <c r="L33" i="28"/>
  <c r="B34" i="28"/>
  <c r="D34" i="28"/>
  <c r="H34" i="28"/>
  <c r="I34" i="28"/>
  <c r="J34" i="28"/>
  <c r="L34" i="28"/>
  <c r="B35" i="28"/>
  <c r="D35" i="28"/>
  <c r="H35" i="28"/>
  <c r="I35" i="28"/>
  <c r="J35" i="28"/>
  <c r="L35" i="28"/>
  <c r="B36" i="28"/>
  <c r="D36" i="28"/>
  <c r="H36" i="28"/>
  <c r="I36" i="28"/>
  <c r="J36" i="28"/>
  <c r="L36" i="28"/>
  <c r="B37" i="28"/>
  <c r="D37" i="28"/>
  <c r="H37" i="28"/>
  <c r="I37" i="28"/>
  <c r="J37" i="28"/>
  <c r="L37" i="28"/>
  <c r="B38" i="28"/>
  <c r="D38" i="28"/>
  <c r="H38" i="28"/>
  <c r="I38" i="28"/>
  <c r="J38" i="28"/>
  <c r="L38" i="28"/>
  <c r="B39" i="28"/>
  <c r="D39" i="28"/>
  <c r="H39" i="28"/>
  <c r="I39" i="28"/>
  <c r="J39" i="28"/>
  <c r="L39" i="28"/>
  <c r="B40" i="28"/>
  <c r="D40" i="28"/>
  <c r="H40" i="28"/>
  <c r="I40" i="28"/>
  <c r="J40" i="28"/>
  <c r="L40" i="28"/>
  <c r="B41" i="28"/>
  <c r="D41" i="28"/>
  <c r="H41" i="28"/>
  <c r="I41" i="28"/>
  <c r="J41" i="28"/>
  <c r="L41" i="28"/>
  <c r="B42" i="28"/>
  <c r="D42" i="28"/>
  <c r="H42" i="28"/>
  <c r="I42" i="28"/>
  <c r="J42" i="28"/>
  <c r="L42" i="28"/>
  <c r="B43" i="28"/>
  <c r="D43" i="28"/>
  <c r="H43" i="28"/>
  <c r="I43" i="28"/>
  <c r="J43" i="28"/>
  <c r="L43" i="28"/>
  <c r="B44" i="28"/>
  <c r="D44" i="28"/>
  <c r="H44" i="28"/>
  <c r="I44" i="28"/>
  <c r="J44" i="28"/>
  <c r="L44" i="28"/>
  <c r="B45" i="28"/>
  <c r="D45" i="28"/>
  <c r="H45" i="28"/>
  <c r="I45" i="28"/>
  <c r="J45" i="28"/>
  <c r="L45" i="28"/>
  <c r="B46" i="28"/>
  <c r="D46" i="28"/>
  <c r="H46" i="28"/>
  <c r="I46" i="28"/>
  <c r="J46" i="28"/>
  <c r="L46" i="28"/>
  <c r="B47" i="28"/>
  <c r="D47" i="28"/>
  <c r="H47" i="28"/>
  <c r="I47" i="28"/>
  <c r="J47" i="28"/>
  <c r="L47" i="28"/>
  <c r="B48" i="28"/>
  <c r="D48" i="28"/>
  <c r="H48" i="28"/>
  <c r="I48" i="28"/>
  <c r="J48" i="28"/>
  <c r="L48" i="28"/>
  <c r="B49" i="28"/>
  <c r="D49" i="28"/>
  <c r="H49" i="28"/>
  <c r="I49" i="28"/>
  <c r="J49" i="28"/>
  <c r="L49" i="28"/>
  <c r="B50" i="28"/>
  <c r="D50" i="28"/>
  <c r="H50" i="28"/>
  <c r="I50" i="28"/>
  <c r="J50" i="28"/>
  <c r="L50" i="28"/>
  <c r="B51" i="28"/>
  <c r="D51" i="28"/>
  <c r="H51" i="28"/>
  <c r="I51" i="28"/>
  <c r="J51" i="28"/>
  <c r="L51" i="28"/>
  <c r="B52" i="28"/>
  <c r="D52" i="28"/>
  <c r="H52" i="28"/>
  <c r="I52" i="28"/>
  <c r="J52" i="28"/>
  <c r="L52" i="28"/>
  <c r="B53" i="28"/>
  <c r="D53" i="28"/>
  <c r="H53" i="28"/>
  <c r="I53" i="28"/>
  <c r="J53" i="28"/>
  <c r="L53" i="28"/>
  <c r="B54" i="28"/>
  <c r="D54" i="28"/>
  <c r="H54" i="28"/>
  <c r="I54" i="28"/>
  <c r="J54" i="28"/>
  <c r="L54" i="28"/>
  <c r="B55" i="28"/>
  <c r="D55" i="28"/>
  <c r="H55" i="28"/>
  <c r="I55" i="28"/>
  <c r="J55" i="28"/>
  <c r="L55" i="28"/>
  <c r="B56" i="28"/>
  <c r="D56" i="28"/>
  <c r="H56" i="28"/>
  <c r="I56" i="28"/>
  <c r="J56" i="28"/>
  <c r="L56" i="28"/>
  <c r="B57" i="28"/>
  <c r="D57" i="28"/>
  <c r="H57" i="28"/>
  <c r="I57" i="28"/>
  <c r="J57" i="28"/>
  <c r="L57" i="28"/>
  <c r="B58" i="28"/>
  <c r="D58" i="28"/>
  <c r="H58" i="28"/>
  <c r="I58" i="28"/>
  <c r="J58" i="28"/>
  <c r="L58" i="28"/>
  <c r="B59" i="28"/>
  <c r="D59" i="28"/>
  <c r="H59" i="28"/>
  <c r="I59" i="28"/>
  <c r="J59" i="28"/>
  <c r="L59" i="28"/>
  <c r="B60" i="28"/>
  <c r="D60" i="28"/>
  <c r="H60" i="28"/>
  <c r="I60" i="28"/>
  <c r="J60" i="28"/>
  <c r="L60" i="28"/>
  <c r="B61" i="28"/>
  <c r="D61" i="28"/>
  <c r="H61" i="28"/>
  <c r="I61" i="28"/>
  <c r="J61" i="28"/>
  <c r="L61" i="28"/>
  <c r="B62" i="28"/>
  <c r="D62" i="28"/>
  <c r="H62" i="28"/>
  <c r="I62" i="28"/>
  <c r="J62" i="28"/>
  <c r="L62" i="28"/>
  <c r="B63" i="28"/>
  <c r="D63" i="28"/>
  <c r="H63" i="28"/>
  <c r="I63" i="28"/>
  <c r="J63" i="28"/>
  <c r="L63" i="28"/>
  <c r="B64" i="28"/>
  <c r="D64" i="28"/>
  <c r="H64" i="28"/>
  <c r="I64" i="28"/>
  <c r="J64" i="28"/>
  <c r="L64" i="28"/>
  <c r="B65" i="28"/>
  <c r="D65" i="28"/>
  <c r="H65" i="28"/>
  <c r="I65" i="28"/>
  <c r="J65" i="28"/>
  <c r="L65" i="28"/>
  <c r="B66" i="28"/>
  <c r="D66" i="28"/>
  <c r="H66" i="28"/>
  <c r="I66" i="28"/>
  <c r="J66" i="28"/>
  <c r="L66" i="28"/>
  <c r="B67" i="28"/>
  <c r="D67" i="28"/>
  <c r="H67" i="28"/>
  <c r="I67" i="28"/>
  <c r="J67" i="28"/>
  <c r="L67" i="28"/>
  <c r="B68" i="28"/>
  <c r="D68" i="28"/>
  <c r="H68" i="28"/>
  <c r="I68" i="28"/>
  <c r="J68" i="28"/>
  <c r="L68" i="28"/>
  <c r="B69" i="28"/>
  <c r="D69" i="28"/>
  <c r="H69" i="28"/>
  <c r="I69" i="28"/>
  <c r="J69" i="28"/>
  <c r="L69" i="28"/>
  <c r="B70" i="28"/>
  <c r="D70" i="28"/>
  <c r="H70" i="28"/>
  <c r="I70" i="28"/>
  <c r="J70" i="28"/>
  <c r="L70" i="28"/>
  <c r="B71" i="28"/>
  <c r="D71" i="28"/>
  <c r="H71" i="28"/>
  <c r="I71" i="28"/>
  <c r="J71" i="28"/>
  <c r="L71" i="28"/>
  <c r="B72" i="28"/>
  <c r="D72" i="28"/>
  <c r="H72" i="28"/>
  <c r="I72" i="28"/>
  <c r="J72" i="28"/>
  <c r="L72" i="28"/>
  <c r="B73" i="28"/>
  <c r="D73" i="28"/>
  <c r="H73" i="28"/>
  <c r="I73" i="28"/>
  <c r="J73" i="28"/>
  <c r="L73" i="28"/>
  <c r="B74" i="28"/>
  <c r="D74" i="28"/>
  <c r="H74" i="28"/>
  <c r="I74" i="28"/>
  <c r="J74" i="28"/>
  <c r="L74" i="28"/>
  <c r="B75" i="28"/>
  <c r="D75" i="28"/>
  <c r="H75" i="28"/>
  <c r="I75" i="28"/>
  <c r="J75" i="28"/>
  <c r="L75" i="28"/>
  <c r="B76" i="28"/>
  <c r="D76" i="28"/>
  <c r="H76" i="28"/>
  <c r="I76" i="28"/>
  <c r="J76" i="28"/>
  <c r="L76" i="28"/>
  <c r="B77" i="28"/>
  <c r="D77" i="28"/>
  <c r="H77" i="28"/>
  <c r="I77" i="28"/>
  <c r="J77" i="28"/>
  <c r="L77" i="28"/>
  <c r="B78" i="28"/>
  <c r="D78" i="28"/>
  <c r="H78" i="28"/>
  <c r="I78" i="28"/>
  <c r="J78" i="28"/>
  <c r="L78" i="28"/>
  <c r="B79" i="28"/>
  <c r="D79" i="28"/>
  <c r="H79" i="28"/>
  <c r="I79" i="28"/>
  <c r="J79" i="28"/>
  <c r="L79" i="28"/>
  <c r="B80" i="28"/>
  <c r="D80" i="28"/>
  <c r="H80" i="28"/>
  <c r="I80" i="28"/>
  <c r="J80" i="28"/>
  <c r="L80" i="28"/>
  <c r="B81" i="28"/>
  <c r="D81" i="28"/>
  <c r="H81" i="28"/>
  <c r="I81" i="28"/>
  <c r="J81" i="28"/>
  <c r="L81" i="28"/>
  <c r="B82" i="28"/>
  <c r="D82" i="28"/>
  <c r="H82" i="28"/>
  <c r="I82" i="28"/>
  <c r="J82" i="28"/>
  <c r="L82" i="28"/>
  <c r="B83" i="28"/>
  <c r="D83" i="28"/>
  <c r="H83" i="28"/>
  <c r="I83" i="28"/>
  <c r="J83" i="28"/>
  <c r="L83" i="28"/>
  <c r="B84" i="28"/>
  <c r="D84" i="28"/>
  <c r="H84" i="28"/>
  <c r="I84" i="28"/>
  <c r="J84" i="28"/>
  <c r="L84" i="28"/>
  <c r="B85" i="28"/>
  <c r="D85" i="28"/>
  <c r="H85" i="28"/>
  <c r="I85" i="28"/>
  <c r="J85" i="28"/>
  <c r="L85" i="28"/>
  <c r="B86" i="28"/>
  <c r="D86" i="28"/>
  <c r="H86" i="28"/>
  <c r="I86" i="28"/>
  <c r="J86" i="28"/>
  <c r="L86" i="28"/>
  <c r="B87" i="28"/>
  <c r="D87" i="28"/>
  <c r="H87" i="28"/>
  <c r="I87" i="28"/>
  <c r="J87" i="28"/>
  <c r="L87" i="28"/>
  <c r="B88" i="28"/>
  <c r="D88" i="28"/>
  <c r="H88" i="28"/>
  <c r="I88" i="28"/>
  <c r="J88" i="28"/>
  <c r="L88" i="28"/>
  <c r="B89" i="28"/>
  <c r="D89" i="28"/>
  <c r="H89" i="28"/>
  <c r="I89" i="28"/>
  <c r="J89" i="28"/>
  <c r="L89" i="28"/>
  <c r="B90" i="28"/>
  <c r="D90" i="28"/>
  <c r="H90" i="28"/>
  <c r="I90" i="28"/>
  <c r="J90" i="28"/>
  <c r="L90" i="28"/>
  <c r="B91" i="28"/>
  <c r="D91" i="28"/>
  <c r="H91" i="28"/>
  <c r="I91" i="28"/>
  <c r="J91" i="28"/>
  <c r="L91" i="28"/>
  <c r="B92" i="28"/>
  <c r="D92" i="28"/>
  <c r="H92" i="28"/>
  <c r="I92" i="28"/>
  <c r="J92" i="28"/>
  <c r="L92" i="28"/>
  <c r="B93" i="28"/>
  <c r="D93" i="28"/>
  <c r="H93" i="28"/>
  <c r="I93" i="28"/>
  <c r="J93" i="28"/>
  <c r="L93" i="28"/>
  <c r="B94" i="28"/>
  <c r="D94" i="28"/>
  <c r="H94" i="28"/>
  <c r="I94" i="28"/>
  <c r="J94" i="28"/>
  <c r="L94" i="28"/>
  <c r="B95" i="28"/>
  <c r="D95" i="28"/>
  <c r="H95" i="28"/>
  <c r="I95" i="28"/>
  <c r="J95" i="28"/>
  <c r="L95" i="28"/>
  <c r="B96" i="28"/>
  <c r="D96" i="28"/>
  <c r="H96" i="28"/>
  <c r="I96" i="28"/>
  <c r="J96" i="28"/>
  <c r="L96" i="28"/>
  <c r="B97" i="28"/>
  <c r="D97" i="28"/>
  <c r="H97" i="28"/>
  <c r="I97" i="28"/>
  <c r="J97" i="28"/>
  <c r="L97" i="28"/>
  <c r="B98" i="28"/>
  <c r="D98" i="28"/>
  <c r="H98" i="28"/>
  <c r="I98" i="28"/>
  <c r="J98" i="28"/>
  <c r="L98" i="28"/>
  <c r="B99" i="28"/>
  <c r="D99" i="28"/>
  <c r="H99" i="28"/>
  <c r="I99" i="28"/>
  <c r="J99" i="28"/>
  <c r="L99" i="28"/>
  <c r="C36" i="28"/>
  <c r="C37" i="28"/>
  <c r="C38" i="28"/>
  <c r="C39" i="28"/>
  <c r="C40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F40" i="28"/>
  <c r="C41" i="28"/>
  <c r="F41" i="28"/>
  <c r="C42" i="28"/>
  <c r="F42" i="28"/>
  <c r="C43" i="28"/>
  <c r="F43" i="28"/>
  <c r="C44" i="28"/>
  <c r="F44" i="28"/>
  <c r="C45" i="28"/>
  <c r="F45" i="28"/>
  <c r="C46" i="28"/>
  <c r="F46" i="28"/>
  <c r="C47" i="28"/>
  <c r="F47" i="28"/>
  <c r="C48" i="28"/>
  <c r="F48" i="28"/>
  <c r="C49" i="28"/>
  <c r="F49" i="28"/>
  <c r="C50" i="28"/>
  <c r="F50" i="28"/>
  <c r="C51" i="28"/>
  <c r="F51" i="28"/>
  <c r="C52" i="28"/>
  <c r="F52" i="28"/>
  <c r="C53" i="28"/>
  <c r="F53" i="28"/>
  <c r="C54" i="28"/>
  <c r="F54" i="28"/>
  <c r="C55" i="28"/>
  <c r="F55" i="28"/>
  <c r="C56" i="28"/>
  <c r="F56" i="28"/>
  <c r="C57" i="28"/>
  <c r="F57" i="28"/>
  <c r="C58" i="28"/>
  <c r="F58" i="28"/>
  <c r="C59" i="28"/>
  <c r="F59" i="28"/>
  <c r="C60" i="28"/>
  <c r="F60" i="28"/>
  <c r="C61" i="28"/>
  <c r="F61" i="28"/>
  <c r="C62" i="28"/>
  <c r="F62" i="28"/>
  <c r="C63" i="28"/>
  <c r="F63" i="28"/>
  <c r="C64" i="28"/>
  <c r="F64" i="28"/>
  <c r="C65" i="28"/>
  <c r="F65" i="28"/>
  <c r="C66" i="28"/>
  <c r="F66" i="28"/>
  <c r="C67" i="28"/>
  <c r="F67" i="28"/>
  <c r="C68" i="28"/>
  <c r="F68" i="28"/>
  <c r="F69" i="28"/>
  <c r="F70" i="28"/>
  <c r="F71" i="28"/>
  <c r="F72" i="28"/>
  <c r="F73" i="28"/>
  <c r="F74" i="28"/>
  <c r="F75" i="28"/>
  <c r="F76" i="28"/>
  <c r="F77" i="28"/>
  <c r="F78" i="28"/>
  <c r="F79" i="28"/>
  <c r="F80" i="28"/>
  <c r="F81" i="28"/>
  <c r="F82" i="28"/>
  <c r="F83" i="28"/>
  <c r="F84" i="28"/>
  <c r="F85" i="28"/>
  <c r="F86" i="28"/>
  <c r="F87" i="28"/>
  <c r="F88" i="28"/>
  <c r="F89" i="28"/>
  <c r="F90" i="28"/>
  <c r="F91" i="28"/>
  <c r="F92" i="28"/>
  <c r="F93" i="28"/>
  <c r="F94" i="28"/>
  <c r="F95" i="28"/>
  <c r="F96" i="28"/>
  <c r="F97" i="28"/>
  <c r="F98" i="28"/>
  <c r="F99" i="28"/>
  <c r="F15" i="28"/>
  <c r="L4" i="28"/>
  <c r="L5" i="28"/>
  <c r="J14" i="28"/>
  <c r="D14" i="28"/>
  <c r="B5" i="28"/>
  <c r="G14" i="28"/>
  <c r="B14" i="28"/>
  <c r="B14" i="27"/>
  <c r="L5" i="27"/>
  <c r="L4" i="27"/>
  <c r="M7" i="27"/>
  <c r="D14" i="27"/>
  <c r="F14" i="27"/>
  <c r="M8" i="27"/>
  <c r="E14" i="27"/>
  <c r="G14" i="27"/>
  <c r="B15" i="27"/>
  <c r="D15" i="27"/>
  <c r="F15" i="27"/>
  <c r="E15" i="27"/>
  <c r="G15" i="27"/>
  <c r="B16" i="27"/>
  <c r="D16" i="27"/>
  <c r="F16" i="27"/>
  <c r="E16" i="27"/>
  <c r="G16" i="27"/>
  <c r="B17" i="27"/>
  <c r="D17" i="27"/>
  <c r="F17" i="27"/>
  <c r="E17" i="27"/>
  <c r="G17" i="27"/>
  <c r="B18" i="27"/>
  <c r="D18" i="27"/>
  <c r="F18" i="27"/>
  <c r="E18" i="27"/>
  <c r="G18" i="27"/>
  <c r="B19" i="27"/>
  <c r="D19" i="27"/>
  <c r="F19" i="27"/>
  <c r="E19" i="27"/>
  <c r="G19" i="27"/>
  <c r="B20" i="27"/>
  <c r="D20" i="27"/>
  <c r="F20" i="27"/>
  <c r="E20" i="27"/>
  <c r="G20" i="27"/>
  <c r="B21" i="27"/>
  <c r="D21" i="27"/>
  <c r="F21" i="27"/>
  <c r="E21" i="27"/>
  <c r="G21" i="27"/>
  <c r="B22" i="27"/>
  <c r="D22" i="27"/>
  <c r="F22" i="27"/>
  <c r="E22" i="27"/>
  <c r="G22" i="27"/>
  <c r="B23" i="27"/>
  <c r="D23" i="27"/>
  <c r="F23" i="27"/>
  <c r="E23" i="27"/>
  <c r="G23" i="27"/>
  <c r="B24" i="27"/>
  <c r="D24" i="27"/>
  <c r="F24" i="27"/>
  <c r="E24" i="27"/>
  <c r="G24" i="27"/>
  <c r="B25" i="27"/>
  <c r="D25" i="27"/>
  <c r="F25" i="27"/>
  <c r="E25" i="27"/>
  <c r="G25" i="27"/>
  <c r="B26" i="27"/>
  <c r="D26" i="27"/>
  <c r="F26" i="27"/>
  <c r="E26" i="27"/>
  <c r="G26" i="27"/>
  <c r="B27" i="27"/>
  <c r="D27" i="27"/>
  <c r="F27" i="27"/>
  <c r="E27" i="27"/>
  <c r="G27" i="27"/>
  <c r="B28" i="27"/>
  <c r="D28" i="27"/>
  <c r="F28" i="27"/>
  <c r="E28" i="27"/>
  <c r="G28" i="27"/>
  <c r="B29" i="27"/>
  <c r="D29" i="27"/>
  <c r="F29" i="27"/>
  <c r="E29" i="27"/>
  <c r="G29" i="27"/>
  <c r="B30" i="27"/>
  <c r="D30" i="27"/>
  <c r="F30" i="27"/>
  <c r="E30" i="27"/>
  <c r="G30" i="27"/>
  <c r="B31" i="27"/>
  <c r="D31" i="27"/>
  <c r="F31" i="27"/>
  <c r="E31" i="27"/>
  <c r="G31" i="27"/>
  <c r="B32" i="27"/>
  <c r="D32" i="27"/>
  <c r="F32" i="27"/>
  <c r="E32" i="27"/>
  <c r="G32" i="27"/>
  <c r="B33" i="27"/>
  <c r="D33" i="27"/>
  <c r="F33" i="27"/>
  <c r="E33" i="27"/>
  <c r="G33" i="27"/>
  <c r="B34" i="27"/>
  <c r="D34" i="27"/>
  <c r="F34" i="27"/>
  <c r="E34" i="27"/>
  <c r="G34" i="27"/>
  <c r="B35" i="27"/>
  <c r="D35" i="27"/>
  <c r="F35" i="27"/>
  <c r="E35" i="27"/>
  <c r="G35" i="27"/>
  <c r="B36" i="27"/>
  <c r="D36" i="27"/>
  <c r="F36" i="27"/>
  <c r="E36" i="27"/>
  <c r="G36" i="27"/>
  <c r="B37" i="27"/>
  <c r="D37" i="27"/>
  <c r="F37" i="27"/>
  <c r="E37" i="27"/>
  <c r="G37" i="27"/>
  <c r="B38" i="27"/>
  <c r="D38" i="27"/>
  <c r="F38" i="27"/>
  <c r="E38" i="27"/>
  <c r="G38" i="27"/>
  <c r="B39" i="27"/>
  <c r="D39" i="27"/>
  <c r="F39" i="27"/>
  <c r="E39" i="27"/>
  <c r="G39" i="27"/>
  <c r="B40" i="27"/>
  <c r="D40" i="27"/>
  <c r="F40" i="27"/>
  <c r="E40" i="27"/>
  <c r="G40" i="27"/>
  <c r="B41" i="27"/>
  <c r="D41" i="27"/>
  <c r="F41" i="27"/>
  <c r="E41" i="27"/>
  <c r="G41" i="27"/>
  <c r="B42" i="27"/>
  <c r="D42" i="27"/>
  <c r="F42" i="27"/>
  <c r="E42" i="27"/>
  <c r="G42" i="27"/>
  <c r="B43" i="27"/>
  <c r="D43" i="27"/>
  <c r="F43" i="27"/>
  <c r="E43" i="27"/>
  <c r="G43" i="27"/>
  <c r="B44" i="27"/>
  <c r="D44" i="27"/>
  <c r="F44" i="27"/>
  <c r="E44" i="27"/>
  <c r="G44" i="27"/>
  <c r="B45" i="27"/>
  <c r="D45" i="27"/>
  <c r="F45" i="27"/>
  <c r="E45" i="27"/>
  <c r="G45" i="27"/>
  <c r="B46" i="27"/>
  <c r="D46" i="27"/>
  <c r="F46" i="27"/>
  <c r="E46" i="27"/>
  <c r="G46" i="27"/>
  <c r="B47" i="27"/>
  <c r="D47" i="27"/>
  <c r="F47" i="27"/>
  <c r="E47" i="27"/>
  <c r="G47" i="27"/>
  <c r="B48" i="27"/>
  <c r="D48" i="27"/>
  <c r="F48" i="27"/>
  <c r="E48" i="27"/>
  <c r="G48" i="27"/>
  <c r="B49" i="27"/>
  <c r="D49" i="27"/>
  <c r="F49" i="27"/>
  <c r="E49" i="27"/>
  <c r="G49" i="27"/>
  <c r="B50" i="27"/>
  <c r="D50" i="27"/>
  <c r="F50" i="27"/>
  <c r="E50" i="27"/>
  <c r="G50" i="27"/>
  <c r="B51" i="27"/>
  <c r="D51" i="27"/>
  <c r="F51" i="27"/>
  <c r="E51" i="27"/>
  <c r="G51" i="27"/>
  <c r="B52" i="27"/>
  <c r="D52" i="27"/>
  <c r="F52" i="27"/>
  <c r="E52" i="27"/>
  <c r="G52" i="27"/>
  <c r="B53" i="27"/>
  <c r="D53" i="27"/>
  <c r="F53" i="27"/>
  <c r="E53" i="27"/>
  <c r="G53" i="27"/>
  <c r="B54" i="27"/>
  <c r="C54" i="27"/>
  <c r="D54" i="27"/>
  <c r="F54" i="27"/>
  <c r="E54" i="27"/>
  <c r="G54" i="27"/>
  <c r="B55" i="27"/>
  <c r="C55" i="27"/>
  <c r="D55" i="27"/>
  <c r="F55" i="27"/>
  <c r="E55" i="27"/>
  <c r="G55" i="27"/>
  <c r="B56" i="27"/>
  <c r="C56" i="27"/>
  <c r="D56" i="27"/>
  <c r="F56" i="27"/>
  <c r="E56" i="27"/>
  <c r="G56" i="27"/>
  <c r="B57" i="27"/>
  <c r="C57" i="27"/>
  <c r="D57" i="27"/>
  <c r="F57" i="27"/>
  <c r="E57" i="27"/>
  <c r="G57" i="27"/>
  <c r="B58" i="27"/>
  <c r="C58" i="27"/>
  <c r="D58" i="27"/>
  <c r="F58" i="27"/>
  <c r="E58" i="27"/>
  <c r="G58" i="27"/>
  <c r="B59" i="27"/>
  <c r="C59" i="27"/>
  <c r="D59" i="27"/>
  <c r="F59" i="27"/>
  <c r="E59" i="27"/>
  <c r="G59" i="27"/>
  <c r="B60" i="27"/>
  <c r="C60" i="27"/>
  <c r="D60" i="27"/>
  <c r="F60" i="27"/>
  <c r="E60" i="27"/>
  <c r="G60" i="27"/>
  <c r="B61" i="27"/>
  <c r="C61" i="27"/>
  <c r="D61" i="27"/>
  <c r="F61" i="27"/>
  <c r="E61" i="27"/>
  <c r="G61" i="27"/>
  <c r="B62" i="27"/>
  <c r="C62" i="27"/>
  <c r="D62" i="27"/>
  <c r="F62" i="27"/>
  <c r="E62" i="27"/>
  <c r="G62" i="27"/>
  <c r="B63" i="27"/>
  <c r="C63" i="27"/>
  <c r="D63" i="27"/>
  <c r="F63" i="27"/>
  <c r="E63" i="27"/>
  <c r="G63" i="27"/>
  <c r="B64" i="27"/>
  <c r="C64" i="27"/>
  <c r="D64" i="27"/>
  <c r="F64" i="27"/>
  <c r="E64" i="27"/>
  <c r="G64" i="27"/>
  <c r="B65" i="27"/>
  <c r="C65" i="27"/>
  <c r="D65" i="27"/>
  <c r="F65" i="27"/>
  <c r="E65" i="27"/>
  <c r="G65" i="27"/>
  <c r="B66" i="27"/>
  <c r="C66" i="27"/>
  <c r="D66" i="27"/>
  <c r="F66" i="27"/>
  <c r="E66" i="27"/>
  <c r="G66" i="27"/>
  <c r="B67" i="27"/>
  <c r="C67" i="27"/>
  <c r="D67" i="27"/>
  <c r="F67" i="27"/>
  <c r="E67" i="27"/>
  <c r="G67" i="27"/>
  <c r="B68" i="27"/>
  <c r="C68" i="27"/>
  <c r="D68" i="27"/>
  <c r="F68" i="27"/>
  <c r="E68" i="27"/>
  <c r="G68" i="27"/>
  <c r="B69" i="27"/>
  <c r="C69" i="27"/>
  <c r="D69" i="27"/>
  <c r="F69" i="27"/>
  <c r="E69" i="27"/>
  <c r="G69" i="27"/>
  <c r="B70" i="27"/>
  <c r="C70" i="27"/>
  <c r="D70" i="27"/>
  <c r="F70" i="27"/>
  <c r="E70" i="27"/>
  <c r="G70" i="27"/>
  <c r="B71" i="27"/>
  <c r="C71" i="27"/>
  <c r="D71" i="27"/>
  <c r="F71" i="27"/>
  <c r="E71" i="27"/>
  <c r="G71" i="27"/>
  <c r="B72" i="27"/>
  <c r="C72" i="27"/>
  <c r="D72" i="27"/>
  <c r="F72" i="27"/>
  <c r="E72" i="27"/>
  <c r="G72" i="27"/>
  <c r="B73" i="27"/>
  <c r="C73" i="27"/>
  <c r="D73" i="27"/>
  <c r="F73" i="27"/>
  <c r="E73" i="27"/>
  <c r="G73" i="27"/>
  <c r="B74" i="27"/>
  <c r="C74" i="27"/>
  <c r="D74" i="27"/>
  <c r="F74" i="27"/>
  <c r="E74" i="27"/>
  <c r="G74" i="27"/>
  <c r="B75" i="27"/>
  <c r="C75" i="27"/>
  <c r="D75" i="27"/>
  <c r="F75" i="27"/>
  <c r="E75" i="27"/>
  <c r="G75" i="27"/>
  <c r="B76" i="27"/>
  <c r="C76" i="27"/>
  <c r="D76" i="27"/>
  <c r="F76" i="27"/>
  <c r="E76" i="27"/>
  <c r="G76" i="27"/>
  <c r="B77" i="27"/>
  <c r="C77" i="27"/>
  <c r="D77" i="27"/>
  <c r="F77" i="27"/>
  <c r="E77" i="27"/>
  <c r="G77" i="27"/>
  <c r="B78" i="27"/>
  <c r="C78" i="27"/>
  <c r="D78" i="27"/>
  <c r="F78" i="27"/>
  <c r="E78" i="27"/>
  <c r="G78" i="27"/>
  <c r="B79" i="27"/>
  <c r="C79" i="27"/>
  <c r="D79" i="27"/>
  <c r="F79" i="27"/>
  <c r="E79" i="27"/>
  <c r="G79" i="27"/>
  <c r="B80" i="27"/>
  <c r="C80" i="27"/>
  <c r="D80" i="27"/>
  <c r="F80" i="27"/>
  <c r="E80" i="27"/>
  <c r="G80" i="27"/>
  <c r="B81" i="27"/>
  <c r="C81" i="27"/>
  <c r="D81" i="27"/>
  <c r="F81" i="27"/>
  <c r="E81" i="27"/>
  <c r="G81" i="27"/>
  <c r="B82" i="27"/>
  <c r="C82" i="27"/>
  <c r="D82" i="27"/>
  <c r="F82" i="27"/>
  <c r="E82" i="27"/>
  <c r="G82" i="27"/>
  <c r="B83" i="27"/>
  <c r="C83" i="27"/>
  <c r="D83" i="27"/>
  <c r="F83" i="27"/>
  <c r="E83" i="27"/>
  <c r="G83" i="27"/>
  <c r="B84" i="27"/>
  <c r="C84" i="27"/>
  <c r="D84" i="27"/>
  <c r="F84" i="27"/>
  <c r="E84" i="27"/>
  <c r="G84" i="27"/>
  <c r="B85" i="27"/>
  <c r="C85" i="27"/>
  <c r="D85" i="27"/>
  <c r="F85" i="27"/>
  <c r="E85" i="27"/>
  <c r="G85" i="27"/>
  <c r="B86" i="27"/>
  <c r="C86" i="27"/>
  <c r="D86" i="27"/>
  <c r="F86" i="27"/>
  <c r="E86" i="27"/>
  <c r="G86" i="27"/>
  <c r="B87" i="27"/>
  <c r="C87" i="27"/>
  <c r="D87" i="27"/>
  <c r="F87" i="27"/>
  <c r="E87" i="27"/>
  <c r="G87" i="27"/>
  <c r="B88" i="27"/>
  <c r="C88" i="27"/>
  <c r="D88" i="27"/>
  <c r="F88" i="27"/>
  <c r="E88" i="27"/>
  <c r="G88" i="27"/>
  <c r="B89" i="27"/>
  <c r="C89" i="27"/>
  <c r="D89" i="27"/>
  <c r="F89" i="27"/>
  <c r="E89" i="27"/>
  <c r="G89" i="27"/>
  <c r="B90" i="27"/>
  <c r="C90" i="27"/>
  <c r="D90" i="27"/>
  <c r="F90" i="27"/>
  <c r="E90" i="27"/>
  <c r="G90" i="27"/>
  <c r="B91" i="27"/>
  <c r="C91" i="27"/>
  <c r="D91" i="27"/>
  <c r="F91" i="27"/>
  <c r="E91" i="27"/>
  <c r="G91" i="27"/>
  <c r="B92" i="27"/>
  <c r="C92" i="27"/>
  <c r="D92" i="27"/>
  <c r="F92" i="27"/>
  <c r="E92" i="27"/>
  <c r="G92" i="27"/>
  <c r="B93" i="27"/>
  <c r="C93" i="27"/>
  <c r="D93" i="27"/>
  <c r="F93" i="27"/>
  <c r="E93" i="27"/>
  <c r="G93" i="27"/>
  <c r="B94" i="27"/>
  <c r="C94" i="27"/>
  <c r="D94" i="27"/>
  <c r="F94" i="27"/>
  <c r="E94" i="27"/>
  <c r="G94" i="27"/>
  <c r="B95" i="27"/>
  <c r="C95" i="27"/>
  <c r="D95" i="27"/>
  <c r="F95" i="27"/>
  <c r="E95" i="27"/>
  <c r="G95" i="27"/>
  <c r="B96" i="27"/>
  <c r="C96" i="27"/>
  <c r="D96" i="27"/>
  <c r="F96" i="27"/>
  <c r="E96" i="27"/>
  <c r="G96" i="27"/>
  <c r="B97" i="27"/>
  <c r="C97" i="27"/>
  <c r="D97" i="27"/>
  <c r="F97" i="27"/>
  <c r="E97" i="27"/>
  <c r="G97" i="27"/>
  <c r="B98" i="27"/>
  <c r="S4" i="27"/>
  <c r="P7" i="27"/>
  <c r="P6" i="27"/>
  <c r="P5" i="27"/>
  <c r="P4" i="27"/>
  <c r="C98" i="27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38" i="26"/>
  <c r="G39" i="26"/>
  <c r="G40" i="26"/>
  <c r="G41" i="26"/>
  <c r="G42" i="26"/>
  <c r="G43" i="26"/>
  <c r="G44" i="26"/>
  <c r="G45" i="26"/>
  <c r="G46" i="26"/>
  <c r="G47" i="26"/>
  <c r="G48" i="26"/>
  <c r="G49" i="26"/>
  <c r="G50" i="26"/>
  <c r="G51" i="26"/>
  <c r="G52" i="26"/>
  <c r="G53" i="26"/>
  <c r="G54" i="26"/>
  <c r="G55" i="26"/>
  <c r="G56" i="26"/>
  <c r="G57" i="26"/>
  <c r="G58" i="26"/>
  <c r="G59" i="26"/>
  <c r="G60" i="26"/>
  <c r="G61" i="26"/>
  <c r="G62" i="26"/>
  <c r="G63" i="26"/>
  <c r="G64" i="26"/>
  <c r="G65" i="26"/>
  <c r="G66" i="26"/>
  <c r="G67" i="26"/>
  <c r="G68" i="26"/>
  <c r="G69" i="26"/>
  <c r="G70" i="26"/>
  <c r="G71" i="26"/>
  <c r="G72" i="26"/>
  <c r="G73" i="26"/>
  <c r="G74" i="26"/>
  <c r="G75" i="26"/>
  <c r="G76" i="26"/>
  <c r="G77" i="26"/>
  <c r="G78" i="26"/>
  <c r="G79" i="26"/>
  <c r="G80" i="26"/>
  <c r="G81" i="26"/>
  <c r="G82" i="26"/>
  <c r="G83" i="26"/>
  <c r="G84" i="26"/>
  <c r="G85" i="26"/>
  <c r="G86" i="26"/>
  <c r="G87" i="26"/>
  <c r="G88" i="26"/>
  <c r="G89" i="26"/>
  <c r="G90" i="26"/>
  <c r="G91" i="26"/>
  <c r="G92" i="26"/>
  <c r="G93" i="26"/>
  <c r="G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58" i="26"/>
  <c r="F59" i="26"/>
  <c r="F60" i="26"/>
  <c r="F61" i="26"/>
  <c r="F62" i="26"/>
  <c r="F63" i="26"/>
  <c r="F64" i="26"/>
  <c r="F65" i="26"/>
  <c r="F66" i="26"/>
  <c r="F67" i="26"/>
  <c r="F68" i="26"/>
  <c r="F69" i="26"/>
  <c r="F70" i="26"/>
  <c r="F71" i="26"/>
  <c r="F72" i="26"/>
  <c r="F73" i="26"/>
  <c r="F74" i="26"/>
  <c r="F75" i="26"/>
  <c r="F76" i="26"/>
  <c r="F77" i="26"/>
  <c r="F78" i="26"/>
  <c r="F79" i="26"/>
  <c r="F80" i="26"/>
  <c r="F81" i="26"/>
  <c r="F82" i="26"/>
  <c r="F83" i="26"/>
  <c r="F84" i="26"/>
  <c r="F85" i="26"/>
  <c r="F86" i="26"/>
  <c r="F87" i="26"/>
  <c r="F88" i="26"/>
  <c r="F89" i="26"/>
  <c r="F90" i="26"/>
  <c r="F91" i="26"/>
  <c r="F92" i="26"/>
  <c r="F93" i="26"/>
  <c r="F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" i="26"/>
  <c r="E8" i="25"/>
  <c r="E9" i="25"/>
  <c r="D9" i="26"/>
  <c r="D10" i="26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25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44" i="26"/>
  <c r="D45" i="26"/>
  <c r="D46" i="26"/>
  <c r="D47" i="26"/>
  <c r="D48" i="26"/>
  <c r="D49" i="26"/>
  <c r="D50" i="26"/>
  <c r="D51" i="26"/>
  <c r="D52" i="26"/>
  <c r="D53" i="26"/>
  <c r="D54" i="26"/>
  <c r="D55" i="26"/>
  <c r="D56" i="26"/>
  <c r="D57" i="26"/>
  <c r="D58" i="26"/>
  <c r="D59" i="26"/>
  <c r="D60" i="26"/>
  <c r="D61" i="26"/>
  <c r="D62" i="26"/>
  <c r="D63" i="26"/>
  <c r="D64" i="26"/>
  <c r="D65" i="26"/>
  <c r="D66" i="26"/>
  <c r="D67" i="26"/>
  <c r="D68" i="26"/>
  <c r="D69" i="26"/>
  <c r="D70" i="26"/>
  <c r="D71" i="26"/>
  <c r="D72" i="26"/>
  <c r="D73" i="26"/>
  <c r="D74" i="26"/>
  <c r="D75" i="26"/>
  <c r="D76" i="26"/>
  <c r="D77" i="26"/>
  <c r="D78" i="26"/>
  <c r="D79" i="26"/>
  <c r="D80" i="26"/>
  <c r="D81" i="26"/>
  <c r="D82" i="26"/>
  <c r="D83" i="26"/>
  <c r="D84" i="26"/>
  <c r="D85" i="26"/>
  <c r="D86" i="26"/>
  <c r="D87" i="26"/>
  <c r="D88" i="26"/>
  <c r="D89" i="26"/>
  <c r="D90" i="26"/>
  <c r="D91" i="26"/>
  <c r="D92" i="26"/>
  <c r="D93" i="26"/>
  <c r="F9" i="25"/>
  <c r="E10" i="25"/>
  <c r="F10" i="25"/>
  <c r="E11" i="25"/>
  <c r="F11" i="25"/>
  <c r="E12" i="25"/>
  <c r="F12" i="25"/>
  <c r="E13" i="25"/>
  <c r="F13" i="25"/>
  <c r="E14" i="25"/>
  <c r="F14" i="25"/>
  <c r="E15" i="25"/>
  <c r="F15" i="25"/>
  <c r="E16" i="25"/>
  <c r="F16" i="25"/>
  <c r="E17" i="25"/>
  <c r="F17" i="25"/>
  <c r="E18" i="25"/>
  <c r="F18" i="25"/>
  <c r="E19" i="25"/>
  <c r="F19" i="25"/>
  <c r="E20" i="25"/>
  <c r="F20" i="25"/>
  <c r="E21" i="25"/>
  <c r="F21" i="25"/>
  <c r="E22" i="25"/>
  <c r="F22" i="25"/>
  <c r="E23" i="25"/>
  <c r="F23" i="25"/>
  <c r="E24" i="25"/>
  <c r="F24" i="25"/>
  <c r="E25" i="25"/>
  <c r="F25" i="25"/>
  <c r="E26" i="25"/>
  <c r="F26" i="25"/>
  <c r="E27" i="25"/>
  <c r="F27" i="25"/>
  <c r="E28" i="25"/>
  <c r="F28" i="25"/>
  <c r="E29" i="25"/>
  <c r="F29" i="25"/>
  <c r="E30" i="25"/>
  <c r="F30" i="25"/>
  <c r="E31" i="25"/>
  <c r="F31" i="25"/>
  <c r="E32" i="25"/>
  <c r="F32" i="25"/>
  <c r="E33" i="25"/>
  <c r="F33" i="25"/>
  <c r="E34" i="25"/>
  <c r="F34" i="25"/>
  <c r="E35" i="25"/>
  <c r="F35" i="25"/>
  <c r="E36" i="25"/>
  <c r="F36" i="25"/>
  <c r="E37" i="25"/>
  <c r="F37" i="25"/>
  <c r="E38" i="25"/>
  <c r="F38" i="25"/>
  <c r="E39" i="25"/>
  <c r="F39" i="25"/>
  <c r="E40" i="25"/>
  <c r="F40" i="25"/>
  <c r="E41" i="25"/>
  <c r="F41" i="25"/>
  <c r="E42" i="25"/>
  <c r="F42" i="25"/>
  <c r="E43" i="25"/>
  <c r="F43" i="25"/>
  <c r="E44" i="25"/>
  <c r="F44" i="25"/>
  <c r="E45" i="25"/>
  <c r="F45" i="25"/>
  <c r="E46" i="25"/>
  <c r="F46" i="25"/>
  <c r="E47" i="25"/>
  <c r="F47" i="25"/>
  <c r="E48" i="25"/>
  <c r="F48" i="25"/>
  <c r="E49" i="25"/>
  <c r="F49" i="25"/>
  <c r="E50" i="25"/>
  <c r="F50" i="25"/>
  <c r="E51" i="25"/>
  <c r="F51" i="25"/>
  <c r="E52" i="25"/>
  <c r="F52" i="25"/>
  <c r="E53" i="25"/>
  <c r="F53" i="25"/>
  <c r="E54" i="25"/>
  <c r="F54" i="25"/>
  <c r="E55" i="25"/>
  <c r="F55" i="25"/>
  <c r="E56" i="25"/>
  <c r="F56" i="25"/>
  <c r="E57" i="25"/>
  <c r="F57" i="25"/>
  <c r="E58" i="25"/>
  <c r="F58" i="25"/>
  <c r="E59" i="25"/>
  <c r="F59" i="25"/>
  <c r="E60" i="25"/>
  <c r="F60" i="25"/>
  <c r="E61" i="25"/>
  <c r="F61" i="25"/>
  <c r="E62" i="25"/>
  <c r="F62" i="25"/>
  <c r="E63" i="25"/>
  <c r="F63" i="25"/>
  <c r="E64" i="25"/>
  <c r="F64" i="25"/>
  <c r="E65" i="25"/>
  <c r="F65" i="25"/>
  <c r="E66" i="25"/>
  <c r="F66" i="25"/>
  <c r="E67" i="25"/>
  <c r="F67" i="25"/>
  <c r="E68" i="25"/>
  <c r="F68" i="25"/>
  <c r="E69" i="25"/>
  <c r="F69" i="25"/>
  <c r="E70" i="25"/>
  <c r="F70" i="25"/>
  <c r="E71" i="25"/>
  <c r="F71" i="25"/>
  <c r="E72" i="25"/>
  <c r="F72" i="25"/>
  <c r="E73" i="25"/>
  <c r="F73" i="25"/>
  <c r="E74" i="25"/>
  <c r="F74" i="25"/>
  <c r="E75" i="25"/>
  <c r="F75" i="25"/>
  <c r="E76" i="25"/>
  <c r="F76" i="25"/>
  <c r="E77" i="25"/>
  <c r="F77" i="25"/>
  <c r="E78" i="25"/>
  <c r="F78" i="25"/>
  <c r="E79" i="25"/>
  <c r="F79" i="25"/>
  <c r="E80" i="25"/>
  <c r="F80" i="25"/>
  <c r="E81" i="25"/>
  <c r="F81" i="25"/>
  <c r="E82" i="25"/>
  <c r="F82" i="25"/>
  <c r="E83" i="25"/>
  <c r="F83" i="25"/>
  <c r="E84" i="25"/>
  <c r="F84" i="25"/>
  <c r="E85" i="25"/>
  <c r="F85" i="25"/>
  <c r="E86" i="25"/>
  <c r="F86" i="25"/>
  <c r="E87" i="25"/>
  <c r="F87" i="25"/>
  <c r="E88" i="25"/>
  <c r="F88" i="25"/>
  <c r="E89" i="25"/>
  <c r="F89" i="25"/>
  <c r="E90" i="25"/>
  <c r="F90" i="25"/>
  <c r="E91" i="25"/>
  <c r="F91" i="25"/>
  <c r="E92" i="25"/>
  <c r="F92" i="25"/>
  <c r="F8" i="25"/>
  <c r="D9" i="25"/>
  <c r="D10" i="25"/>
  <c r="D11" i="25"/>
  <c r="D12" i="25"/>
  <c r="D13" i="25"/>
  <c r="D14" i="25"/>
  <c r="D15" i="25"/>
  <c r="D16" i="25"/>
  <c r="D17" i="25"/>
  <c r="D18" i="25"/>
  <c r="D19" i="25"/>
  <c r="D20" i="25"/>
  <c r="D21" i="25"/>
  <c r="D22" i="25"/>
  <c r="D23" i="25"/>
  <c r="D24" i="25"/>
  <c r="D25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44" i="25"/>
  <c r="D45" i="25"/>
  <c r="D46" i="25"/>
  <c r="D47" i="25"/>
  <c r="D48" i="25"/>
  <c r="D49" i="25"/>
  <c r="D50" i="25"/>
  <c r="D51" i="25"/>
  <c r="D52" i="25"/>
  <c r="D53" i="25"/>
  <c r="D54" i="25"/>
  <c r="D55" i="25"/>
  <c r="D56" i="25"/>
  <c r="D57" i="25"/>
  <c r="D58" i="25"/>
  <c r="D59" i="25"/>
  <c r="D60" i="25"/>
  <c r="D61" i="25"/>
  <c r="D62" i="25"/>
  <c r="D63" i="25"/>
  <c r="D64" i="25"/>
  <c r="D65" i="25"/>
  <c r="D66" i="25"/>
  <c r="D67" i="25"/>
  <c r="D68" i="25"/>
  <c r="D69" i="25"/>
  <c r="D70" i="25"/>
  <c r="D71" i="25"/>
  <c r="D72" i="25"/>
  <c r="D73" i="25"/>
  <c r="D74" i="25"/>
  <c r="D75" i="25"/>
  <c r="D76" i="25"/>
  <c r="D77" i="25"/>
  <c r="D78" i="25"/>
  <c r="D79" i="25"/>
  <c r="D80" i="25"/>
  <c r="D81" i="25"/>
  <c r="D82" i="25"/>
  <c r="D83" i="25"/>
  <c r="D84" i="25"/>
  <c r="D85" i="25"/>
  <c r="D86" i="25"/>
  <c r="D87" i="25"/>
  <c r="D88" i="25"/>
  <c r="D89" i="25"/>
  <c r="D90" i="25"/>
  <c r="D91" i="25"/>
  <c r="D92" i="25"/>
  <c r="D8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D10" i="24"/>
  <c r="I5" i="24"/>
  <c r="G10" i="24"/>
  <c r="C11" i="24"/>
  <c r="D11" i="24"/>
  <c r="F10" i="24"/>
  <c r="F11" i="24"/>
  <c r="G11" i="24"/>
  <c r="C12" i="24"/>
  <c r="D12" i="24"/>
  <c r="F12" i="24"/>
  <c r="G12" i="24"/>
  <c r="C13" i="24"/>
  <c r="D13" i="24"/>
  <c r="F13" i="24"/>
  <c r="G13" i="24"/>
  <c r="C14" i="24"/>
  <c r="D14" i="24"/>
  <c r="F14" i="24"/>
  <c r="G14" i="24"/>
  <c r="C15" i="24"/>
  <c r="D15" i="24"/>
  <c r="F15" i="24"/>
  <c r="G15" i="24"/>
  <c r="C16" i="24"/>
  <c r="D16" i="24"/>
  <c r="F16" i="24"/>
  <c r="G16" i="24"/>
  <c r="C17" i="24"/>
  <c r="D17" i="24"/>
  <c r="F17" i="24"/>
  <c r="G17" i="24"/>
  <c r="C18" i="24"/>
  <c r="D18" i="24"/>
  <c r="F18" i="24"/>
  <c r="G18" i="24"/>
  <c r="C19" i="24"/>
  <c r="D19" i="24"/>
  <c r="F19" i="24"/>
  <c r="G19" i="24"/>
  <c r="C20" i="24"/>
  <c r="D20" i="24"/>
  <c r="F20" i="24"/>
  <c r="G20" i="24"/>
  <c r="C21" i="24"/>
  <c r="D21" i="24"/>
  <c r="F21" i="24"/>
  <c r="G21" i="24"/>
  <c r="C22" i="24"/>
  <c r="D22" i="24"/>
  <c r="F22" i="24"/>
  <c r="G22" i="24"/>
  <c r="C23" i="24"/>
  <c r="D23" i="24"/>
  <c r="F23" i="24"/>
  <c r="G23" i="24"/>
  <c r="C24" i="24"/>
  <c r="D24" i="24"/>
  <c r="F24" i="24"/>
  <c r="G24" i="24"/>
  <c r="C25" i="24"/>
  <c r="D25" i="24"/>
  <c r="F25" i="24"/>
  <c r="G25" i="24"/>
  <c r="C26" i="24"/>
  <c r="D26" i="24"/>
  <c r="F26" i="24"/>
  <c r="G26" i="24"/>
  <c r="C27" i="24"/>
  <c r="D27" i="24"/>
  <c r="F27" i="24"/>
  <c r="G27" i="24"/>
  <c r="C28" i="24"/>
  <c r="D28" i="24"/>
  <c r="F28" i="24"/>
  <c r="G28" i="24"/>
  <c r="C29" i="24"/>
  <c r="D29" i="24"/>
  <c r="F29" i="24"/>
  <c r="G29" i="24"/>
  <c r="C30" i="24"/>
  <c r="D30" i="24"/>
  <c r="F30" i="24"/>
  <c r="G30" i="24"/>
  <c r="C31" i="24"/>
  <c r="D31" i="24"/>
  <c r="F31" i="24"/>
  <c r="G31" i="24"/>
  <c r="C32" i="24"/>
  <c r="D32" i="24"/>
  <c r="F32" i="24"/>
  <c r="G32" i="24"/>
  <c r="C33" i="24"/>
  <c r="D33" i="24"/>
  <c r="F33" i="24"/>
  <c r="G33" i="24"/>
  <c r="C34" i="24"/>
  <c r="D34" i="24"/>
  <c r="F34" i="24"/>
  <c r="G34" i="24"/>
  <c r="C35" i="24"/>
  <c r="D35" i="24"/>
  <c r="F35" i="24"/>
  <c r="G35" i="24"/>
  <c r="C36" i="24"/>
  <c r="D36" i="24"/>
  <c r="F36" i="24"/>
  <c r="G36" i="24"/>
  <c r="C37" i="24"/>
  <c r="D37" i="24"/>
  <c r="F37" i="24"/>
  <c r="G37" i="24"/>
  <c r="C38" i="24"/>
  <c r="D38" i="24"/>
  <c r="F38" i="24"/>
  <c r="G38" i="24"/>
  <c r="C39" i="24"/>
  <c r="D39" i="24"/>
  <c r="F39" i="24"/>
  <c r="G39" i="24"/>
  <c r="C40" i="24"/>
  <c r="D40" i="24"/>
  <c r="F40" i="24"/>
  <c r="G40" i="24"/>
  <c r="C41" i="24"/>
  <c r="D41" i="24"/>
  <c r="F41" i="24"/>
  <c r="G41" i="24"/>
  <c r="C42" i="24"/>
  <c r="D42" i="24"/>
  <c r="F42" i="24"/>
  <c r="G42" i="24"/>
  <c r="C43" i="24"/>
  <c r="D43" i="24"/>
  <c r="F43" i="24"/>
  <c r="G43" i="24"/>
  <c r="C44" i="24"/>
  <c r="D44" i="24"/>
  <c r="F44" i="24"/>
  <c r="G44" i="24"/>
  <c r="C45" i="24"/>
  <c r="D45" i="24"/>
  <c r="F45" i="24"/>
  <c r="G45" i="24"/>
  <c r="C46" i="24"/>
  <c r="D46" i="24"/>
  <c r="F46" i="24"/>
  <c r="G46" i="24"/>
  <c r="C47" i="24"/>
  <c r="D47" i="24"/>
  <c r="F47" i="24"/>
  <c r="G47" i="24"/>
  <c r="C48" i="24"/>
  <c r="D48" i="24"/>
  <c r="F48" i="24"/>
  <c r="G48" i="24"/>
  <c r="C49" i="24"/>
  <c r="D49" i="24"/>
  <c r="F49" i="24"/>
  <c r="G49" i="24"/>
  <c r="C50" i="24"/>
  <c r="D50" i="24"/>
  <c r="F50" i="24"/>
  <c r="G50" i="24"/>
  <c r="C51" i="24"/>
  <c r="D51" i="24"/>
  <c r="F51" i="24"/>
  <c r="G51" i="24"/>
  <c r="C52" i="24"/>
  <c r="D52" i="24"/>
  <c r="F52" i="24"/>
  <c r="G52" i="24"/>
  <c r="C53" i="24"/>
  <c r="D53" i="24"/>
  <c r="F53" i="24"/>
  <c r="G53" i="24"/>
  <c r="C54" i="24"/>
  <c r="D54" i="24"/>
  <c r="F54" i="24"/>
  <c r="G54" i="24"/>
  <c r="C55" i="24"/>
  <c r="D55" i="24"/>
  <c r="F55" i="24"/>
  <c r="G55" i="24"/>
  <c r="C56" i="24"/>
  <c r="D56" i="24"/>
  <c r="F56" i="24"/>
  <c r="G56" i="24"/>
  <c r="C57" i="24"/>
  <c r="D57" i="24"/>
  <c r="F57" i="24"/>
  <c r="G57" i="24"/>
  <c r="C58" i="24"/>
  <c r="D58" i="24"/>
  <c r="F58" i="24"/>
  <c r="G58" i="24"/>
  <c r="C59" i="24"/>
  <c r="D59" i="24"/>
  <c r="F59" i="24"/>
  <c r="G59" i="24"/>
  <c r="C60" i="24"/>
  <c r="D60" i="24"/>
  <c r="F60" i="24"/>
  <c r="G60" i="24"/>
  <c r="C61" i="24"/>
  <c r="D61" i="24"/>
  <c r="F61" i="24"/>
  <c r="G61" i="24"/>
  <c r="C62" i="24"/>
  <c r="D62" i="24"/>
  <c r="F62" i="24"/>
  <c r="G62" i="24"/>
  <c r="C63" i="24"/>
  <c r="D63" i="24"/>
  <c r="F63" i="24"/>
  <c r="G63" i="24"/>
  <c r="C64" i="24"/>
  <c r="D64" i="24"/>
  <c r="F64" i="24"/>
  <c r="G64" i="24"/>
  <c r="C65" i="24"/>
  <c r="D65" i="24"/>
  <c r="F65" i="24"/>
  <c r="G65" i="24"/>
  <c r="C66" i="24"/>
  <c r="D66" i="24"/>
  <c r="F66" i="24"/>
  <c r="G66" i="24"/>
  <c r="C67" i="24"/>
  <c r="D67" i="24"/>
  <c r="F67" i="24"/>
  <c r="G67" i="24"/>
  <c r="C68" i="24"/>
  <c r="D68" i="24"/>
  <c r="F68" i="24"/>
  <c r="G68" i="24"/>
  <c r="C69" i="24"/>
  <c r="D69" i="24"/>
  <c r="F69" i="24"/>
  <c r="G69" i="24"/>
  <c r="C70" i="24"/>
  <c r="D70" i="24"/>
  <c r="F70" i="24"/>
  <c r="G70" i="24"/>
  <c r="C71" i="24"/>
  <c r="D71" i="24"/>
  <c r="F71" i="24"/>
  <c r="G71" i="24"/>
  <c r="C72" i="24"/>
  <c r="D72" i="24"/>
  <c r="F72" i="24"/>
  <c r="G72" i="24"/>
  <c r="C73" i="24"/>
  <c r="D73" i="24"/>
  <c r="F73" i="24"/>
  <c r="G73" i="24"/>
  <c r="C74" i="24"/>
  <c r="D74" i="24"/>
  <c r="F74" i="24"/>
  <c r="G74" i="24"/>
  <c r="C75" i="24"/>
  <c r="D75" i="24"/>
  <c r="F75" i="24"/>
  <c r="G75" i="24"/>
  <c r="C76" i="24"/>
  <c r="D76" i="24"/>
  <c r="F76" i="24"/>
  <c r="G76" i="24"/>
  <c r="C77" i="24"/>
  <c r="D77" i="24"/>
  <c r="F77" i="24"/>
  <c r="G77" i="24"/>
  <c r="C78" i="24"/>
  <c r="D78" i="24"/>
  <c r="F78" i="24"/>
  <c r="G78" i="24"/>
  <c r="C79" i="24"/>
  <c r="D79" i="24"/>
  <c r="F79" i="24"/>
  <c r="G79" i="24"/>
  <c r="C80" i="24"/>
  <c r="D80" i="24"/>
  <c r="F80" i="24"/>
  <c r="G80" i="24"/>
  <c r="C81" i="24"/>
  <c r="D81" i="24"/>
  <c r="F81" i="24"/>
  <c r="G81" i="24"/>
  <c r="C82" i="24"/>
  <c r="D82" i="24"/>
  <c r="F82" i="24"/>
  <c r="G82" i="24"/>
  <c r="C83" i="24"/>
  <c r="D83" i="24"/>
  <c r="F83" i="24"/>
  <c r="G83" i="24"/>
  <c r="C84" i="24"/>
  <c r="D84" i="24"/>
  <c r="F84" i="24"/>
  <c r="G84" i="24"/>
  <c r="C85" i="24"/>
  <c r="D85" i="24"/>
  <c r="F85" i="24"/>
  <c r="G85" i="24"/>
  <c r="C86" i="24"/>
  <c r="D86" i="24"/>
  <c r="F86" i="24"/>
  <c r="G86" i="24"/>
  <c r="C87" i="24"/>
  <c r="D87" i="24"/>
  <c r="F87" i="24"/>
  <c r="G87" i="24"/>
  <c r="C88" i="24"/>
  <c r="D88" i="24"/>
  <c r="F88" i="24"/>
  <c r="G88" i="24"/>
  <c r="C89" i="24"/>
  <c r="D89" i="24"/>
  <c r="F89" i="24"/>
  <c r="G89" i="24"/>
  <c r="C90" i="24"/>
  <c r="D90" i="24"/>
  <c r="F90" i="24"/>
  <c r="G90" i="24"/>
  <c r="C91" i="24"/>
  <c r="D91" i="24"/>
  <c r="F91" i="24"/>
  <c r="G91" i="24"/>
  <c r="C92" i="24"/>
  <c r="D92" i="24"/>
  <c r="F92" i="24"/>
  <c r="G92" i="24"/>
  <c r="C93" i="24"/>
  <c r="D93" i="24"/>
  <c r="F93" i="24"/>
  <c r="G93" i="24"/>
  <c r="C94" i="24"/>
  <c r="D94" i="24"/>
  <c r="F94" i="24"/>
  <c r="G94" i="24"/>
  <c r="C95" i="24"/>
  <c r="D95" i="24"/>
  <c r="F95" i="24"/>
  <c r="G95" i="24"/>
  <c r="C96" i="24"/>
  <c r="D96" i="24"/>
  <c r="F96" i="24"/>
  <c r="G96" i="24"/>
  <c r="C97" i="24"/>
  <c r="D97" i="24"/>
  <c r="F97" i="24"/>
  <c r="G97" i="24"/>
  <c r="C98" i="24"/>
  <c r="D98" i="24"/>
  <c r="F98" i="24"/>
  <c r="G98" i="24"/>
  <c r="C99" i="24"/>
  <c r="D99" i="24"/>
  <c r="F99" i="24"/>
  <c r="G99" i="24"/>
  <c r="C100" i="24"/>
  <c r="D100" i="24"/>
  <c r="F100" i="24"/>
  <c r="G100" i="24"/>
  <c r="C101" i="24"/>
  <c r="D101" i="24"/>
  <c r="F101" i="24"/>
  <c r="G101" i="24"/>
  <c r="C102" i="24"/>
  <c r="D102" i="24"/>
  <c r="F102" i="24"/>
  <c r="G102" i="24"/>
  <c r="C103" i="24"/>
  <c r="D103" i="24"/>
  <c r="F103" i="24"/>
  <c r="G103" i="24"/>
  <c r="C104" i="24"/>
  <c r="D104" i="24"/>
  <c r="F104" i="24"/>
  <c r="G104" i="24"/>
  <c r="C105" i="24"/>
  <c r="D105" i="24"/>
  <c r="F105" i="24"/>
  <c r="G105" i="24"/>
  <c r="C106" i="24"/>
  <c r="D106" i="24"/>
  <c r="F106" i="24"/>
  <c r="G106" i="24"/>
  <c r="C107" i="24"/>
  <c r="D107" i="24"/>
  <c r="F107" i="24"/>
  <c r="G107" i="24"/>
  <c r="C108" i="24"/>
  <c r="D108" i="24"/>
  <c r="F108" i="24"/>
  <c r="G108" i="24"/>
  <c r="C109" i="24"/>
  <c r="D109" i="24"/>
  <c r="F109" i="24"/>
  <c r="G109" i="24"/>
  <c r="C110" i="24"/>
  <c r="D110" i="24"/>
  <c r="E110" i="24"/>
  <c r="F110" i="24"/>
  <c r="G110" i="24"/>
  <c r="C111" i="24"/>
  <c r="D111" i="24"/>
  <c r="E111" i="24"/>
  <c r="F111" i="24"/>
  <c r="G111" i="24"/>
  <c r="C112" i="24"/>
  <c r="D112" i="24"/>
  <c r="E112" i="24"/>
  <c r="F112" i="24"/>
  <c r="G112" i="24"/>
  <c r="C113" i="24"/>
  <c r="D113" i="24"/>
  <c r="E113" i="24"/>
  <c r="F113" i="24"/>
  <c r="G113" i="24"/>
  <c r="C114" i="24"/>
  <c r="D114" i="24"/>
  <c r="E114" i="24"/>
  <c r="F114" i="24"/>
  <c r="G114" i="24"/>
  <c r="C115" i="24"/>
  <c r="D115" i="24"/>
  <c r="E115" i="24"/>
  <c r="F115" i="24"/>
  <c r="G115" i="24"/>
  <c r="C116" i="24"/>
  <c r="D116" i="24"/>
  <c r="E116" i="24"/>
  <c r="F116" i="24"/>
  <c r="G116" i="24"/>
  <c r="C117" i="24"/>
  <c r="D117" i="24"/>
  <c r="E117" i="24"/>
  <c r="F117" i="24"/>
  <c r="G117" i="24"/>
  <c r="C118" i="24"/>
  <c r="D118" i="24"/>
  <c r="E118" i="24"/>
  <c r="F118" i="24"/>
  <c r="G118" i="24"/>
  <c r="C119" i="24"/>
  <c r="D119" i="24"/>
  <c r="E119" i="24"/>
  <c r="F119" i="24"/>
  <c r="G119" i="24"/>
  <c r="C120" i="24"/>
  <c r="D120" i="24"/>
  <c r="E120" i="24"/>
  <c r="F120" i="24"/>
  <c r="G120" i="24"/>
  <c r="C121" i="24"/>
  <c r="D121" i="24"/>
  <c r="E121" i="24"/>
  <c r="F121" i="24"/>
  <c r="G121" i="24"/>
  <c r="C122" i="24"/>
  <c r="D122" i="24"/>
  <c r="E122" i="24"/>
  <c r="F122" i="24"/>
  <c r="G122" i="24"/>
  <c r="C123" i="24"/>
  <c r="D123" i="24"/>
  <c r="E123" i="24"/>
  <c r="F123" i="24"/>
  <c r="G123" i="24"/>
  <c r="C124" i="24"/>
  <c r="D124" i="24"/>
  <c r="E124" i="24"/>
  <c r="F124" i="24"/>
  <c r="G124" i="24"/>
  <c r="C125" i="24"/>
  <c r="D125" i="24"/>
  <c r="E125" i="24"/>
  <c r="F125" i="24"/>
  <c r="G125" i="24"/>
  <c r="C126" i="24"/>
  <c r="D126" i="24"/>
  <c r="E126" i="24"/>
  <c r="F126" i="24"/>
  <c r="G126" i="24"/>
  <c r="C127" i="24"/>
  <c r="D127" i="24"/>
  <c r="E127" i="24"/>
  <c r="F127" i="24"/>
  <c r="G127" i="24"/>
  <c r="C128" i="24"/>
  <c r="D128" i="24"/>
  <c r="E128" i="24"/>
  <c r="F128" i="24"/>
  <c r="G128" i="24"/>
  <c r="C129" i="24"/>
  <c r="D129" i="24"/>
  <c r="E129" i="24"/>
  <c r="F129" i="24"/>
  <c r="G129" i="24"/>
  <c r="C130" i="24"/>
  <c r="D130" i="24"/>
  <c r="E130" i="24"/>
  <c r="F130" i="24"/>
  <c r="G130" i="24"/>
  <c r="C131" i="24"/>
  <c r="D131" i="24"/>
  <c r="E131" i="24"/>
  <c r="F131" i="24"/>
  <c r="G131" i="24"/>
  <c r="C132" i="24"/>
  <c r="D132" i="24"/>
  <c r="E132" i="24"/>
  <c r="F132" i="24"/>
  <c r="G132" i="24"/>
  <c r="C133" i="24"/>
  <c r="D133" i="24"/>
  <c r="E133" i="24"/>
  <c r="F133" i="24"/>
  <c r="G133" i="24"/>
  <c r="C134" i="24"/>
  <c r="D134" i="24"/>
  <c r="E134" i="24"/>
  <c r="F134" i="24"/>
  <c r="G134" i="24"/>
  <c r="C135" i="24"/>
  <c r="D135" i="24"/>
  <c r="E135" i="24"/>
  <c r="F135" i="24"/>
  <c r="G135" i="24"/>
  <c r="C136" i="24"/>
  <c r="D136" i="24"/>
  <c r="E136" i="24"/>
  <c r="F136" i="24"/>
  <c r="G136" i="24"/>
  <c r="C137" i="24"/>
  <c r="D137" i="24"/>
  <c r="E137" i="24"/>
  <c r="F137" i="24"/>
  <c r="G137" i="24"/>
  <c r="C138" i="24"/>
  <c r="D138" i="24"/>
  <c r="E138" i="24"/>
  <c r="F138" i="24"/>
  <c r="G138" i="24"/>
  <c r="C139" i="24"/>
  <c r="D139" i="24"/>
  <c r="E139" i="24"/>
  <c r="F139" i="24"/>
  <c r="G139" i="24"/>
  <c r="C140" i="24"/>
  <c r="D140" i="24"/>
  <c r="E140" i="24"/>
  <c r="F140" i="24"/>
  <c r="G140" i="24"/>
  <c r="C141" i="24"/>
  <c r="D141" i="24"/>
  <c r="E141" i="24"/>
  <c r="F141" i="24"/>
  <c r="G141" i="24"/>
  <c r="C142" i="24"/>
  <c r="D142" i="24"/>
  <c r="E142" i="24"/>
  <c r="F142" i="24"/>
  <c r="G142" i="24"/>
  <c r="C143" i="24"/>
  <c r="D143" i="24"/>
  <c r="E143" i="24"/>
  <c r="F143" i="24"/>
  <c r="G143" i="24"/>
  <c r="C144" i="24"/>
  <c r="D144" i="24"/>
  <c r="E144" i="24"/>
  <c r="F144" i="24"/>
  <c r="G144" i="24"/>
  <c r="C145" i="24"/>
  <c r="D145" i="24"/>
  <c r="E145" i="24"/>
  <c r="F145" i="24"/>
  <c r="G145" i="24"/>
  <c r="C146" i="24"/>
  <c r="D146" i="24"/>
  <c r="E146" i="24"/>
  <c r="F146" i="24"/>
  <c r="G146" i="24"/>
  <c r="C147" i="24"/>
  <c r="D147" i="24"/>
  <c r="E147" i="24"/>
  <c r="F147" i="24"/>
  <c r="G147" i="24"/>
  <c r="C148" i="24"/>
  <c r="D148" i="24"/>
  <c r="E148" i="24"/>
  <c r="F148" i="24"/>
  <c r="G148" i="24"/>
  <c r="C149" i="24"/>
  <c r="D149" i="24"/>
  <c r="E149" i="24"/>
  <c r="F149" i="24"/>
  <c r="G149" i="24"/>
  <c r="C150" i="24"/>
  <c r="D150" i="24"/>
  <c r="E150" i="24"/>
  <c r="F150" i="24"/>
  <c r="G150" i="24"/>
  <c r="C151" i="24"/>
  <c r="D151" i="24"/>
  <c r="F151" i="24"/>
  <c r="G151" i="24"/>
  <c r="C152" i="24"/>
  <c r="D152" i="24"/>
  <c r="F152" i="24"/>
  <c r="G152" i="24"/>
  <c r="C153" i="24"/>
  <c r="D153" i="24"/>
  <c r="F153" i="24"/>
  <c r="G153" i="24"/>
  <c r="C154" i="24"/>
  <c r="D154" i="24"/>
  <c r="F154" i="24"/>
  <c r="G154" i="24"/>
  <c r="C155" i="24"/>
  <c r="D155" i="24"/>
  <c r="F155" i="24"/>
  <c r="G155" i="24"/>
  <c r="C156" i="24"/>
  <c r="D156" i="24"/>
  <c r="F156" i="24"/>
  <c r="G156" i="24"/>
  <c r="C157" i="24"/>
  <c r="D157" i="24"/>
  <c r="F157" i="24"/>
  <c r="G157" i="24"/>
  <c r="C158" i="24"/>
  <c r="D158" i="24"/>
  <c r="F158" i="24"/>
  <c r="G158" i="24"/>
  <c r="C159" i="24"/>
  <c r="D159" i="24"/>
  <c r="F159" i="24"/>
  <c r="G159" i="24"/>
  <c r="C160" i="24"/>
  <c r="D160" i="24"/>
  <c r="F160" i="24"/>
  <c r="G160" i="24"/>
  <c r="C161" i="24"/>
  <c r="D161" i="24"/>
  <c r="F161" i="24"/>
  <c r="G161" i="24"/>
  <c r="C162" i="24"/>
  <c r="D162" i="24"/>
  <c r="F162" i="24"/>
  <c r="G162" i="24"/>
  <c r="C163" i="24"/>
  <c r="D163" i="24"/>
  <c r="F163" i="24"/>
  <c r="G163" i="24"/>
  <c r="C164" i="24"/>
  <c r="D164" i="24"/>
  <c r="F164" i="24"/>
  <c r="G164" i="24"/>
  <c r="C165" i="24"/>
  <c r="D165" i="24"/>
  <c r="F165" i="24"/>
  <c r="G165" i="24"/>
  <c r="C166" i="24"/>
  <c r="D166" i="24"/>
  <c r="F166" i="24"/>
  <c r="G166" i="24"/>
  <c r="C167" i="24"/>
  <c r="D167" i="24"/>
  <c r="F167" i="24"/>
  <c r="G167" i="24"/>
  <c r="C168" i="24"/>
  <c r="D168" i="24"/>
  <c r="F168" i="24"/>
  <c r="G168" i="24"/>
  <c r="C169" i="24"/>
  <c r="D169" i="24"/>
  <c r="F169" i="24"/>
  <c r="G169" i="24"/>
  <c r="C170" i="24"/>
  <c r="D170" i="24"/>
  <c r="F170" i="24"/>
  <c r="G170" i="24"/>
  <c r="C171" i="24"/>
  <c r="D171" i="24"/>
  <c r="F171" i="24"/>
  <c r="G171" i="24"/>
  <c r="C172" i="24"/>
  <c r="D172" i="24"/>
  <c r="F172" i="24"/>
  <c r="G172" i="24"/>
  <c r="C173" i="24"/>
  <c r="D173" i="24"/>
  <c r="F173" i="24"/>
  <c r="G173" i="24"/>
  <c r="C174" i="24"/>
  <c r="D174" i="24"/>
  <c r="F174" i="24"/>
  <c r="G174" i="24"/>
  <c r="C175" i="24"/>
  <c r="D175" i="24"/>
  <c r="F175" i="24"/>
  <c r="G175" i="24"/>
  <c r="C176" i="24"/>
  <c r="D176" i="24"/>
  <c r="F176" i="24"/>
  <c r="G176" i="24"/>
  <c r="C177" i="24"/>
  <c r="D177" i="24"/>
  <c r="F177" i="24"/>
  <c r="G177" i="24"/>
  <c r="C178" i="24"/>
  <c r="D178" i="24"/>
  <c r="F178" i="24"/>
  <c r="G178" i="24"/>
  <c r="C3" i="24"/>
  <c r="B10" i="24"/>
  <c r="C10" i="24"/>
  <c r="B11" i="24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47" i="24"/>
  <c r="B48" i="24"/>
  <c r="B49" i="24"/>
  <c r="B50" i="24"/>
  <c r="B51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97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129" i="24"/>
  <c r="B130" i="24"/>
  <c r="B131" i="24"/>
  <c r="B132" i="24"/>
  <c r="B133" i="24"/>
  <c r="B134" i="24"/>
  <c r="B135" i="24"/>
  <c r="B136" i="24"/>
  <c r="B137" i="24"/>
  <c r="B138" i="24"/>
  <c r="B139" i="24"/>
  <c r="B140" i="24"/>
  <c r="B141" i="24"/>
  <c r="B142" i="24"/>
  <c r="B143" i="24"/>
  <c r="B144" i="24"/>
  <c r="B145" i="24"/>
  <c r="B146" i="24"/>
  <c r="B147" i="24"/>
  <c r="B148" i="24"/>
  <c r="B149" i="24"/>
  <c r="B150" i="24"/>
  <c r="B151" i="24"/>
  <c r="B152" i="24"/>
  <c r="B153" i="24"/>
  <c r="B154" i="24"/>
  <c r="B155" i="24"/>
  <c r="B156" i="24"/>
  <c r="B157" i="24"/>
  <c r="B158" i="24"/>
  <c r="B159" i="24"/>
  <c r="B160" i="24"/>
  <c r="B161" i="24"/>
  <c r="B162" i="24"/>
  <c r="B163" i="24"/>
  <c r="B164" i="24"/>
  <c r="B165" i="24"/>
  <c r="B166" i="24"/>
  <c r="B167" i="24"/>
  <c r="B168" i="24"/>
  <c r="B169" i="24"/>
  <c r="B170" i="24"/>
  <c r="B171" i="24"/>
  <c r="B172" i="24"/>
  <c r="B173" i="24"/>
  <c r="B174" i="24"/>
  <c r="B175" i="24"/>
  <c r="B176" i="24"/>
  <c r="B177" i="24"/>
  <c r="B178" i="24"/>
  <c r="N8" i="24"/>
  <c r="N7" i="24"/>
  <c r="L12" i="23"/>
  <c r="K12" i="23"/>
  <c r="J12" i="23"/>
  <c r="I12" i="23"/>
  <c r="B13" i="23"/>
  <c r="C13" i="23"/>
  <c r="D13" i="23"/>
  <c r="E13" i="23"/>
  <c r="I13" i="23"/>
  <c r="J13" i="23"/>
  <c r="K13" i="23"/>
  <c r="F13" i="23"/>
  <c r="L13" i="23"/>
  <c r="B14" i="23"/>
  <c r="C14" i="23"/>
  <c r="D14" i="23"/>
  <c r="E14" i="23"/>
  <c r="I14" i="23"/>
  <c r="J14" i="23"/>
  <c r="K14" i="23"/>
  <c r="F14" i="23"/>
  <c r="L14" i="23"/>
  <c r="B15" i="23"/>
  <c r="C15" i="23"/>
  <c r="D15" i="23"/>
  <c r="E15" i="23"/>
  <c r="I15" i="23"/>
  <c r="J15" i="23"/>
  <c r="K15" i="23"/>
  <c r="F15" i="23"/>
  <c r="L15" i="23"/>
  <c r="B16" i="23"/>
  <c r="C16" i="23"/>
  <c r="D16" i="23"/>
  <c r="E16" i="23"/>
  <c r="I16" i="23"/>
  <c r="J16" i="23"/>
  <c r="K16" i="23"/>
  <c r="F16" i="23"/>
  <c r="L16" i="23"/>
  <c r="B17" i="23"/>
  <c r="C17" i="23"/>
  <c r="D17" i="23"/>
  <c r="E17" i="23"/>
  <c r="I17" i="23"/>
  <c r="J17" i="23"/>
  <c r="K17" i="23"/>
  <c r="F17" i="23"/>
  <c r="L17" i="23"/>
  <c r="B18" i="23"/>
  <c r="C18" i="23"/>
  <c r="D18" i="23"/>
  <c r="E18" i="23"/>
  <c r="I18" i="23"/>
  <c r="J18" i="23"/>
  <c r="K18" i="23"/>
  <c r="F18" i="23"/>
  <c r="L18" i="23"/>
  <c r="B19" i="23"/>
  <c r="C19" i="23"/>
  <c r="D19" i="23"/>
  <c r="E19" i="23"/>
  <c r="N6" i="23"/>
  <c r="N7" i="23"/>
  <c r="N8" i="23"/>
  <c r="F19" i="23"/>
  <c r="L19" i="23"/>
  <c r="I19" i="23"/>
  <c r="J19" i="23"/>
  <c r="K19" i="23"/>
  <c r="B20" i="23"/>
  <c r="C20" i="23"/>
  <c r="D20" i="23"/>
  <c r="E20" i="23"/>
  <c r="F20" i="23"/>
  <c r="L20" i="23"/>
  <c r="I20" i="23"/>
  <c r="J20" i="23"/>
  <c r="K20" i="23"/>
  <c r="B21" i="23"/>
  <c r="C21" i="23"/>
  <c r="D21" i="23"/>
  <c r="E21" i="23"/>
  <c r="F21" i="23"/>
  <c r="L21" i="23"/>
  <c r="I21" i="23"/>
  <c r="J21" i="23"/>
  <c r="K21" i="23"/>
  <c r="B22" i="23"/>
  <c r="C22" i="23"/>
  <c r="D22" i="23"/>
  <c r="E22" i="23"/>
  <c r="F22" i="23"/>
  <c r="L22" i="23"/>
  <c r="I22" i="23"/>
  <c r="J22" i="23"/>
  <c r="K22" i="23"/>
  <c r="B23" i="23"/>
  <c r="C23" i="23"/>
  <c r="D23" i="23"/>
  <c r="E23" i="23"/>
  <c r="F23" i="23"/>
  <c r="L23" i="23"/>
  <c r="I23" i="23"/>
  <c r="J23" i="23"/>
  <c r="K23" i="23"/>
  <c r="B24" i="23"/>
  <c r="C24" i="23"/>
  <c r="D24" i="23"/>
  <c r="E24" i="23"/>
  <c r="F24" i="23"/>
  <c r="L24" i="23"/>
  <c r="I24" i="23"/>
  <c r="J24" i="23"/>
  <c r="K24" i="23"/>
  <c r="B25" i="23"/>
  <c r="C25" i="23"/>
  <c r="D25" i="23"/>
  <c r="E25" i="23"/>
  <c r="F25" i="23"/>
  <c r="L25" i="23"/>
  <c r="I25" i="23"/>
  <c r="J25" i="23"/>
  <c r="K25" i="23"/>
  <c r="B26" i="23"/>
  <c r="C26" i="23"/>
  <c r="D26" i="23"/>
  <c r="E26" i="23"/>
  <c r="F26" i="23"/>
  <c r="L26" i="23"/>
  <c r="I26" i="23"/>
  <c r="J26" i="23"/>
  <c r="K26" i="23"/>
  <c r="B27" i="23"/>
  <c r="C27" i="23"/>
  <c r="D27" i="23"/>
  <c r="E27" i="23"/>
  <c r="F27" i="23"/>
  <c r="L27" i="23"/>
  <c r="I27" i="23"/>
  <c r="J27" i="23"/>
  <c r="K27" i="23"/>
  <c r="B28" i="23"/>
  <c r="C28" i="23"/>
  <c r="D28" i="23"/>
  <c r="E28" i="23"/>
  <c r="F28" i="23"/>
  <c r="L28" i="23"/>
  <c r="I28" i="23"/>
  <c r="J28" i="23"/>
  <c r="K28" i="23"/>
  <c r="B29" i="23"/>
  <c r="C29" i="23"/>
  <c r="D29" i="23"/>
  <c r="E29" i="23"/>
  <c r="F29" i="23"/>
  <c r="L29" i="23"/>
  <c r="I29" i="23"/>
  <c r="J29" i="23"/>
  <c r="K29" i="23"/>
  <c r="B30" i="23"/>
  <c r="C30" i="23"/>
  <c r="D30" i="23"/>
  <c r="E30" i="23"/>
  <c r="F30" i="23"/>
  <c r="L30" i="23"/>
  <c r="I30" i="23"/>
  <c r="J30" i="23"/>
  <c r="K30" i="23"/>
  <c r="B31" i="23"/>
  <c r="C31" i="23"/>
  <c r="D31" i="23"/>
  <c r="E31" i="23"/>
  <c r="F31" i="23"/>
  <c r="L31" i="23"/>
  <c r="I31" i="23"/>
  <c r="J31" i="23"/>
  <c r="K31" i="23"/>
  <c r="B32" i="23"/>
  <c r="C32" i="23"/>
  <c r="D32" i="23"/>
  <c r="E32" i="23"/>
  <c r="F32" i="23"/>
  <c r="L32" i="23"/>
  <c r="I32" i="23"/>
  <c r="J32" i="23"/>
  <c r="K32" i="23"/>
  <c r="B33" i="23"/>
  <c r="C33" i="23"/>
  <c r="D33" i="23"/>
  <c r="E33" i="23"/>
  <c r="F33" i="23"/>
  <c r="L33" i="23"/>
  <c r="I33" i="23"/>
  <c r="J33" i="23"/>
  <c r="K33" i="23"/>
  <c r="B34" i="23"/>
  <c r="C34" i="23"/>
  <c r="D34" i="23"/>
  <c r="E34" i="23"/>
  <c r="F34" i="23"/>
  <c r="L34" i="23"/>
  <c r="I34" i="23"/>
  <c r="J34" i="23"/>
  <c r="K34" i="23"/>
  <c r="B35" i="23"/>
  <c r="C35" i="23"/>
  <c r="D35" i="23"/>
  <c r="E35" i="23"/>
  <c r="F35" i="23"/>
  <c r="L35" i="23"/>
  <c r="I35" i="23"/>
  <c r="J35" i="23"/>
  <c r="K35" i="23"/>
  <c r="B36" i="23"/>
  <c r="C36" i="23"/>
  <c r="D36" i="23"/>
  <c r="E36" i="23"/>
  <c r="F36" i="23"/>
  <c r="L36" i="23"/>
  <c r="I36" i="23"/>
  <c r="J36" i="23"/>
  <c r="K36" i="23"/>
  <c r="B37" i="23"/>
  <c r="C37" i="23"/>
  <c r="D37" i="23"/>
  <c r="E37" i="23"/>
  <c r="F37" i="23"/>
  <c r="L37" i="23"/>
  <c r="I37" i="23"/>
  <c r="J37" i="23"/>
  <c r="K37" i="23"/>
  <c r="B38" i="23"/>
  <c r="C38" i="23"/>
  <c r="D38" i="23"/>
  <c r="E38" i="23"/>
  <c r="F38" i="23"/>
  <c r="L38" i="23"/>
  <c r="I38" i="23"/>
  <c r="J38" i="23"/>
  <c r="K38" i="23"/>
  <c r="B39" i="23"/>
  <c r="C39" i="23"/>
  <c r="D39" i="23"/>
  <c r="E39" i="23"/>
  <c r="F39" i="23"/>
  <c r="L39" i="23"/>
  <c r="I39" i="23"/>
  <c r="J39" i="23"/>
  <c r="K39" i="23"/>
  <c r="B40" i="23"/>
  <c r="C40" i="23"/>
  <c r="D40" i="23"/>
  <c r="E40" i="23"/>
  <c r="F40" i="23"/>
  <c r="L40" i="23"/>
  <c r="I40" i="23"/>
  <c r="J40" i="23"/>
  <c r="K40" i="23"/>
  <c r="B41" i="23"/>
  <c r="C41" i="23"/>
  <c r="D41" i="23"/>
  <c r="E41" i="23"/>
  <c r="F41" i="23"/>
  <c r="L41" i="23"/>
  <c r="I41" i="23"/>
  <c r="J41" i="23"/>
  <c r="K41" i="23"/>
  <c r="B42" i="23"/>
  <c r="C42" i="23"/>
  <c r="D42" i="23"/>
  <c r="E42" i="23"/>
  <c r="F42" i="23"/>
  <c r="L42" i="23"/>
  <c r="I42" i="23"/>
  <c r="J42" i="23"/>
  <c r="K42" i="23"/>
  <c r="B43" i="23"/>
  <c r="C43" i="23"/>
  <c r="D43" i="23"/>
  <c r="E43" i="23"/>
  <c r="F43" i="23"/>
  <c r="L43" i="23"/>
  <c r="I43" i="23"/>
  <c r="J43" i="23"/>
  <c r="K43" i="23"/>
  <c r="B44" i="23"/>
  <c r="C44" i="23"/>
  <c r="D44" i="23"/>
  <c r="E44" i="23"/>
  <c r="F44" i="23"/>
  <c r="L44" i="23"/>
  <c r="I44" i="23"/>
  <c r="J44" i="23"/>
  <c r="K44" i="23"/>
  <c r="B45" i="23"/>
  <c r="C45" i="23"/>
  <c r="D45" i="23"/>
  <c r="E45" i="23"/>
  <c r="F45" i="23"/>
  <c r="L45" i="23"/>
  <c r="I45" i="23"/>
  <c r="J45" i="23"/>
  <c r="K45" i="23"/>
  <c r="B46" i="23"/>
  <c r="C46" i="23"/>
  <c r="D46" i="23"/>
  <c r="E46" i="23"/>
  <c r="F46" i="23"/>
  <c r="L46" i="23"/>
  <c r="I46" i="23"/>
  <c r="J46" i="23"/>
  <c r="K46" i="23"/>
  <c r="B47" i="23"/>
  <c r="C47" i="23"/>
  <c r="D47" i="23"/>
  <c r="E47" i="23"/>
  <c r="F47" i="23"/>
  <c r="L47" i="23"/>
  <c r="I47" i="23"/>
  <c r="J47" i="23"/>
  <c r="K47" i="23"/>
  <c r="B48" i="23"/>
  <c r="C48" i="23"/>
  <c r="D48" i="23"/>
  <c r="E48" i="23"/>
  <c r="F48" i="23"/>
  <c r="L48" i="23"/>
  <c r="I48" i="23"/>
  <c r="J48" i="23"/>
  <c r="K48" i="23"/>
  <c r="B49" i="23"/>
  <c r="C49" i="23"/>
  <c r="D49" i="23"/>
  <c r="E49" i="23"/>
  <c r="F49" i="23"/>
  <c r="L49" i="23"/>
  <c r="I49" i="23"/>
  <c r="J49" i="23"/>
  <c r="K49" i="23"/>
  <c r="B50" i="23"/>
  <c r="C50" i="23"/>
  <c r="D50" i="23"/>
  <c r="E50" i="23"/>
  <c r="F50" i="23"/>
  <c r="L50" i="23"/>
  <c r="I50" i="23"/>
  <c r="J50" i="23"/>
  <c r="K50" i="23"/>
  <c r="B51" i="23"/>
  <c r="C51" i="23"/>
  <c r="D51" i="23"/>
  <c r="E51" i="23"/>
  <c r="F51" i="23"/>
  <c r="L51" i="23"/>
  <c r="I51" i="23"/>
  <c r="J51" i="23"/>
  <c r="K51" i="23"/>
  <c r="B52" i="23"/>
  <c r="C52" i="23"/>
  <c r="D52" i="23"/>
  <c r="E52" i="23"/>
  <c r="F52" i="23"/>
  <c r="L52" i="23"/>
  <c r="I52" i="23"/>
  <c r="J52" i="23"/>
  <c r="K52" i="23"/>
  <c r="B53" i="23"/>
  <c r="C53" i="23"/>
  <c r="D53" i="23"/>
  <c r="E53" i="23"/>
  <c r="F53" i="23"/>
  <c r="L53" i="23"/>
  <c r="I53" i="23"/>
  <c r="J53" i="23"/>
  <c r="K53" i="23"/>
  <c r="B54" i="23"/>
  <c r="C54" i="23"/>
  <c r="D54" i="23"/>
  <c r="E54" i="23"/>
  <c r="F54" i="23"/>
  <c r="L54" i="23"/>
  <c r="I54" i="23"/>
  <c r="J54" i="23"/>
  <c r="K54" i="23"/>
  <c r="B55" i="23"/>
  <c r="C55" i="23"/>
  <c r="D55" i="23"/>
  <c r="E55" i="23"/>
  <c r="F55" i="23"/>
  <c r="L55" i="23"/>
  <c r="I55" i="23"/>
  <c r="J55" i="23"/>
  <c r="K55" i="23"/>
  <c r="B56" i="23"/>
  <c r="C56" i="23"/>
  <c r="D56" i="23"/>
  <c r="E56" i="23"/>
  <c r="F56" i="23"/>
  <c r="L56" i="23"/>
  <c r="I56" i="23"/>
  <c r="J56" i="23"/>
  <c r="K56" i="23"/>
  <c r="B57" i="23"/>
  <c r="C57" i="23"/>
  <c r="D57" i="23"/>
  <c r="E57" i="23"/>
  <c r="F57" i="23"/>
  <c r="L57" i="23"/>
  <c r="I57" i="23"/>
  <c r="J57" i="23"/>
  <c r="K57" i="23"/>
  <c r="B58" i="23"/>
  <c r="C58" i="23"/>
  <c r="D58" i="23"/>
  <c r="E58" i="23"/>
  <c r="F58" i="23"/>
  <c r="L58" i="23"/>
  <c r="I58" i="23"/>
  <c r="J58" i="23"/>
  <c r="K58" i="23"/>
  <c r="B59" i="23"/>
  <c r="C59" i="23"/>
  <c r="D59" i="23"/>
  <c r="E59" i="23"/>
  <c r="F59" i="23"/>
  <c r="L59" i="23"/>
  <c r="I59" i="23"/>
  <c r="J59" i="23"/>
  <c r="K59" i="23"/>
  <c r="B60" i="23"/>
  <c r="C60" i="23"/>
  <c r="D60" i="23"/>
  <c r="E60" i="23"/>
  <c r="F60" i="23"/>
  <c r="L60" i="23"/>
  <c r="I60" i="23"/>
  <c r="J60" i="23"/>
  <c r="K60" i="23"/>
  <c r="B61" i="23"/>
  <c r="C61" i="23"/>
  <c r="D61" i="23"/>
  <c r="E61" i="23"/>
  <c r="F61" i="23"/>
  <c r="L61" i="23"/>
  <c r="I61" i="23"/>
  <c r="J61" i="23"/>
  <c r="K61" i="23"/>
  <c r="B62" i="23"/>
  <c r="C62" i="23"/>
  <c r="D62" i="23"/>
  <c r="E62" i="23"/>
  <c r="F62" i="23"/>
  <c r="L62" i="23"/>
  <c r="I62" i="23"/>
  <c r="J62" i="23"/>
  <c r="K62" i="23"/>
  <c r="B63" i="23"/>
  <c r="C63" i="23"/>
  <c r="D63" i="23"/>
  <c r="E63" i="23"/>
  <c r="F63" i="23"/>
  <c r="L63" i="23"/>
  <c r="I63" i="23"/>
  <c r="J63" i="23"/>
  <c r="K63" i="23"/>
  <c r="B64" i="23"/>
  <c r="C64" i="23"/>
  <c r="D64" i="23"/>
  <c r="E64" i="23"/>
  <c r="F64" i="23"/>
  <c r="L64" i="23"/>
  <c r="I64" i="23"/>
  <c r="J64" i="23"/>
  <c r="K64" i="23"/>
  <c r="B65" i="23"/>
  <c r="C65" i="23"/>
  <c r="D65" i="23"/>
  <c r="E65" i="23"/>
  <c r="F65" i="23"/>
  <c r="L65" i="23"/>
  <c r="I65" i="23"/>
  <c r="J65" i="23"/>
  <c r="K65" i="23"/>
  <c r="B66" i="23"/>
  <c r="C66" i="23"/>
  <c r="D66" i="23"/>
  <c r="E66" i="23"/>
  <c r="F66" i="23"/>
  <c r="L66" i="23"/>
  <c r="I66" i="23"/>
  <c r="J66" i="23"/>
  <c r="K66" i="23"/>
  <c r="B67" i="23"/>
  <c r="C67" i="23"/>
  <c r="D67" i="23"/>
  <c r="E67" i="23"/>
  <c r="F67" i="23"/>
  <c r="L67" i="23"/>
  <c r="I67" i="23"/>
  <c r="J67" i="23"/>
  <c r="K67" i="23"/>
  <c r="B68" i="23"/>
  <c r="C68" i="23"/>
  <c r="D68" i="23"/>
  <c r="E68" i="23"/>
  <c r="F68" i="23"/>
  <c r="L68" i="23"/>
  <c r="I68" i="23"/>
  <c r="J68" i="23"/>
  <c r="K68" i="23"/>
  <c r="B69" i="23"/>
  <c r="C69" i="23"/>
  <c r="D69" i="23"/>
  <c r="E69" i="23"/>
  <c r="F69" i="23"/>
  <c r="L69" i="23"/>
  <c r="I69" i="23"/>
  <c r="J69" i="23"/>
  <c r="K69" i="23"/>
  <c r="B70" i="23"/>
  <c r="C70" i="23"/>
  <c r="D70" i="23"/>
  <c r="E70" i="23"/>
  <c r="F70" i="23"/>
  <c r="L70" i="23"/>
  <c r="I70" i="23"/>
  <c r="J70" i="23"/>
  <c r="K70" i="23"/>
  <c r="B71" i="23"/>
  <c r="C71" i="23"/>
  <c r="D71" i="23"/>
  <c r="E71" i="23"/>
  <c r="F71" i="23"/>
  <c r="L71" i="23"/>
  <c r="I71" i="23"/>
  <c r="J71" i="23"/>
  <c r="K71" i="23"/>
  <c r="B72" i="23"/>
  <c r="C72" i="23"/>
  <c r="D72" i="23"/>
  <c r="E72" i="23"/>
  <c r="F72" i="23"/>
  <c r="L72" i="23"/>
  <c r="I72" i="23"/>
  <c r="J72" i="23"/>
  <c r="K72" i="23"/>
  <c r="B73" i="23"/>
  <c r="C73" i="23"/>
  <c r="D73" i="23"/>
  <c r="E73" i="23"/>
  <c r="F73" i="23"/>
  <c r="L73" i="23"/>
  <c r="I73" i="23"/>
  <c r="J73" i="23"/>
  <c r="K73" i="23"/>
  <c r="B74" i="23"/>
  <c r="C74" i="23"/>
  <c r="D74" i="23"/>
  <c r="E74" i="23"/>
  <c r="F74" i="23"/>
  <c r="L74" i="23"/>
  <c r="I74" i="23"/>
  <c r="J74" i="23"/>
  <c r="K74" i="23"/>
  <c r="B75" i="23"/>
  <c r="C75" i="23"/>
  <c r="D75" i="23"/>
  <c r="E75" i="23"/>
  <c r="F75" i="23"/>
  <c r="L75" i="23"/>
  <c r="I75" i="23"/>
  <c r="J75" i="23"/>
  <c r="K75" i="23"/>
  <c r="B76" i="23"/>
  <c r="C76" i="23"/>
  <c r="D76" i="23"/>
  <c r="E76" i="23"/>
  <c r="F76" i="23"/>
  <c r="L76" i="23"/>
  <c r="I76" i="23"/>
  <c r="J76" i="23"/>
  <c r="K76" i="23"/>
  <c r="B77" i="23"/>
  <c r="C77" i="23"/>
  <c r="D77" i="23"/>
  <c r="E77" i="23"/>
  <c r="F77" i="23"/>
  <c r="L77" i="23"/>
  <c r="I77" i="23"/>
  <c r="J77" i="23"/>
  <c r="K77" i="23"/>
  <c r="B78" i="23"/>
  <c r="C78" i="23"/>
  <c r="D78" i="23"/>
  <c r="E78" i="23"/>
  <c r="F78" i="23"/>
  <c r="L78" i="23"/>
  <c r="I78" i="23"/>
  <c r="J78" i="23"/>
  <c r="K78" i="23"/>
  <c r="B79" i="23"/>
  <c r="C79" i="23"/>
  <c r="D79" i="23"/>
  <c r="E79" i="23"/>
  <c r="F79" i="23"/>
  <c r="L79" i="23"/>
  <c r="I79" i="23"/>
  <c r="J79" i="23"/>
  <c r="K79" i="23"/>
  <c r="B80" i="23"/>
  <c r="C80" i="23"/>
  <c r="D80" i="23"/>
  <c r="E80" i="23"/>
  <c r="F80" i="23"/>
  <c r="L80" i="23"/>
  <c r="I80" i="23"/>
  <c r="J80" i="23"/>
  <c r="K80" i="23"/>
  <c r="B81" i="23"/>
  <c r="C81" i="23"/>
  <c r="D81" i="23"/>
  <c r="E81" i="23"/>
  <c r="F81" i="23"/>
  <c r="L81" i="23"/>
  <c r="I81" i="23"/>
  <c r="J81" i="23"/>
  <c r="K81" i="23"/>
  <c r="B82" i="23"/>
  <c r="C82" i="23"/>
  <c r="D82" i="23"/>
  <c r="E82" i="23"/>
  <c r="F82" i="23"/>
  <c r="L82" i="23"/>
  <c r="I82" i="23"/>
  <c r="J82" i="23"/>
  <c r="K82" i="23"/>
  <c r="B83" i="23"/>
  <c r="C83" i="23"/>
  <c r="D83" i="23"/>
  <c r="E83" i="23"/>
  <c r="F83" i="23"/>
  <c r="L83" i="23"/>
  <c r="I83" i="23"/>
  <c r="J83" i="23"/>
  <c r="K83" i="23"/>
  <c r="B84" i="23"/>
  <c r="C84" i="23"/>
  <c r="D84" i="23"/>
  <c r="E84" i="23"/>
  <c r="F84" i="23"/>
  <c r="L84" i="23"/>
  <c r="I84" i="23"/>
  <c r="J84" i="23"/>
  <c r="K84" i="23"/>
  <c r="B85" i="23"/>
  <c r="C85" i="23"/>
  <c r="D85" i="23"/>
  <c r="E85" i="23"/>
  <c r="F85" i="23"/>
  <c r="L85" i="23"/>
  <c r="I85" i="23"/>
  <c r="J85" i="23"/>
  <c r="K85" i="23"/>
  <c r="B86" i="23"/>
  <c r="C86" i="23"/>
  <c r="D86" i="23"/>
  <c r="E86" i="23"/>
  <c r="F86" i="23"/>
  <c r="L86" i="23"/>
  <c r="I86" i="23"/>
  <c r="J86" i="23"/>
  <c r="K86" i="23"/>
  <c r="B87" i="23"/>
  <c r="C87" i="23"/>
  <c r="D87" i="23"/>
  <c r="E87" i="23"/>
  <c r="F87" i="23"/>
  <c r="L87" i="23"/>
  <c r="I87" i="23"/>
  <c r="J87" i="23"/>
  <c r="K87" i="23"/>
  <c r="B88" i="23"/>
  <c r="C88" i="23"/>
  <c r="D88" i="23"/>
  <c r="E88" i="23"/>
  <c r="F88" i="23"/>
  <c r="L88" i="23"/>
  <c r="I88" i="23"/>
  <c r="J88" i="23"/>
  <c r="K88" i="23"/>
  <c r="B89" i="23"/>
  <c r="C89" i="23"/>
  <c r="D89" i="23"/>
  <c r="E89" i="23"/>
  <c r="F89" i="23"/>
  <c r="L89" i="23"/>
  <c r="I89" i="23"/>
  <c r="J89" i="23"/>
  <c r="K89" i="23"/>
  <c r="B90" i="23"/>
  <c r="C90" i="23"/>
  <c r="D90" i="23"/>
  <c r="E90" i="23"/>
  <c r="F90" i="23"/>
  <c r="L90" i="23"/>
  <c r="I90" i="23"/>
  <c r="J90" i="23"/>
  <c r="K90" i="23"/>
  <c r="B91" i="23"/>
  <c r="C91" i="23"/>
  <c r="D91" i="23"/>
  <c r="E91" i="23"/>
  <c r="F91" i="23"/>
  <c r="L91" i="23"/>
  <c r="I91" i="23"/>
  <c r="J91" i="23"/>
  <c r="K91" i="23"/>
  <c r="B92" i="23"/>
  <c r="C92" i="23"/>
  <c r="D92" i="23"/>
  <c r="E92" i="23"/>
  <c r="F92" i="23"/>
  <c r="L92" i="23"/>
  <c r="I92" i="23"/>
  <c r="J92" i="23"/>
  <c r="K92" i="23"/>
  <c r="B93" i="23"/>
  <c r="C93" i="23"/>
  <c r="D93" i="23"/>
  <c r="E93" i="23"/>
  <c r="F93" i="23"/>
  <c r="L93" i="23"/>
  <c r="I93" i="23"/>
  <c r="J93" i="23"/>
  <c r="K93" i="23"/>
  <c r="B94" i="23"/>
  <c r="C94" i="23"/>
  <c r="D94" i="23"/>
  <c r="E94" i="23"/>
  <c r="F94" i="23"/>
  <c r="L94" i="23"/>
  <c r="I94" i="23"/>
  <c r="J94" i="23"/>
  <c r="K94" i="23"/>
  <c r="B95" i="23"/>
  <c r="C95" i="23"/>
  <c r="D95" i="23"/>
  <c r="E95" i="23"/>
  <c r="F95" i="23"/>
  <c r="L95" i="23"/>
  <c r="I95" i="23"/>
  <c r="J95" i="23"/>
  <c r="K95" i="23"/>
  <c r="B96" i="23"/>
  <c r="C96" i="23"/>
  <c r="D96" i="23"/>
  <c r="E96" i="23"/>
  <c r="F96" i="23"/>
  <c r="L96" i="23"/>
  <c r="I96" i="23"/>
  <c r="J96" i="23"/>
  <c r="K96" i="23"/>
  <c r="B97" i="23"/>
  <c r="C97" i="23"/>
  <c r="D97" i="23"/>
  <c r="E97" i="23"/>
  <c r="F97" i="23"/>
  <c r="L97" i="23"/>
  <c r="I97" i="23"/>
  <c r="J97" i="23"/>
  <c r="K97" i="23"/>
  <c r="B98" i="23"/>
  <c r="C98" i="23"/>
  <c r="D98" i="23"/>
  <c r="E98" i="23"/>
  <c r="F98" i="23"/>
  <c r="L98" i="23"/>
  <c r="I98" i="23"/>
  <c r="J98" i="23"/>
  <c r="K98" i="23"/>
  <c r="B99" i="23"/>
  <c r="C99" i="23"/>
  <c r="D99" i="23"/>
  <c r="E99" i="23"/>
  <c r="F99" i="23"/>
  <c r="L99" i="23"/>
  <c r="I99" i="23"/>
  <c r="J99" i="23"/>
  <c r="K99" i="23"/>
  <c r="B100" i="23"/>
  <c r="C100" i="23"/>
  <c r="D100" i="23"/>
  <c r="E100" i="23"/>
  <c r="F100" i="23"/>
  <c r="L100" i="23"/>
  <c r="I100" i="23"/>
  <c r="J100" i="23"/>
  <c r="K100" i="23"/>
  <c r="B101" i="23"/>
  <c r="C101" i="23"/>
  <c r="D101" i="23"/>
  <c r="E101" i="23"/>
  <c r="F101" i="23"/>
  <c r="L101" i="23"/>
  <c r="I101" i="23"/>
  <c r="J101" i="23"/>
  <c r="K101" i="23"/>
  <c r="B102" i="23"/>
  <c r="C102" i="23"/>
  <c r="D102" i="23"/>
  <c r="E102" i="23"/>
  <c r="F102" i="23"/>
  <c r="L102" i="23"/>
  <c r="I102" i="23"/>
  <c r="J102" i="23"/>
  <c r="K102" i="23"/>
  <c r="B103" i="23"/>
  <c r="C103" i="23"/>
  <c r="D103" i="23"/>
  <c r="E103" i="23"/>
  <c r="F103" i="23"/>
  <c r="L103" i="23"/>
  <c r="I103" i="23"/>
  <c r="J103" i="23"/>
  <c r="K103" i="23"/>
  <c r="B104" i="23"/>
  <c r="C104" i="23"/>
  <c r="D104" i="23"/>
  <c r="E104" i="23"/>
  <c r="F104" i="23"/>
  <c r="L104" i="23"/>
  <c r="I104" i="23"/>
  <c r="J104" i="23"/>
  <c r="K104" i="23"/>
  <c r="B105" i="23"/>
  <c r="C105" i="23"/>
  <c r="D105" i="23"/>
  <c r="E105" i="23"/>
  <c r="F105" i="23"/>
  <c r="L105" i="23"/>
  <c r="I105" i="23"/>
  <c r="J105" i="23"/>
  <c r="K105" i="23"/>
  <c r="B106" i="23"/>
  <c r="C106" i="23"/>
  <c r="D106" i="23"/>
  <c r="E106" i="23"/>
  <c r="F106" i="23"/>
  <c r="L106" i="23"/>
  <c r="I106" i="23"/>
  <c r="J106" i="23"/>
  <c r="K106" i="23"/>
  <c r="B107" i="23"/>
  <c r="C107" i="23"/>
  <c r="D107" i="23"/>
  <c r="E107" i="23"/>
  <c r="F107" i="23"/>
  <c r="L107" i="23"/>
  <c r="I107" i="23"/>
  <c r="J107" i="23"/>
  <c r="K107" i="23"/>
  <c r="B108" i="23"/>
  <c r="C108" i="23"/>
  <c r="D108" i="23"/>
  <c r="E108" i="23"/>
  <c r="F108" i="23"/>
  <c r="L108" i="23"/>
  <c r="I108" i="23"/>
  <c r="J108" i="23"/>
  <c r="K108" i="23"/>
  <c r="B109" i="23"/>
  <c r="C109" i="23"/>
  <c r="D109" i="23"/>
  <c r="E109" i="23"/>
  <c r="F109" i="23"/>
  <c r="L109" i="23"/>
  <c r="I109" i="23"/>
  <c r="J109" i="23"/>
  <c r="K109" i="23"/>
  <c r="B110" i="23"/>
  <c r="C110" i="23"/>
  <c r="D110" i="23"/>
  <c r="E110" i="23"/>
  <c r="F110" i="23"/>
  <c r="L110" i="23"/>
  <c r="I110" i="23"/>
  <c r="J110" i="23"/>
  <c r="K110" i="23"/>
  <c r="B111" i="23"/>
  <c r="C111" i="23"/>
  <c r="D111" i="23"/>
  <c r="E111" i="23"/>
  <c r="F111" i="23"/>
  <c r="L111" i="23"/>
  <c r="I111" i="23"/>
  <c r="J111" i="23"/>
  <c r="K111" i="23"/>
  <c r="B112" i="23"/>
  <c r="C112" i="23"/>
  <c r="D112" i="23"/>
  <c r="E112" i="23"/>
  <c r="F112" i="23"/>
  <c r="L112" i="23"/>
  <c r="I112" i="23"/>
  <c r="J112" i="23"/>
  <c r="K112" i="23"/>
  <c r="B113" i="23"/>
  <c r="C113" i="23"/>
  <c r="D113" i="23"/>
  <c r="E113" i="23"/>
  <c r="F113" i="23"/>
  <c r="L113" i="23"/>
  <c r="I113" i="23"/>
  <c r="J113" i="23"/>
  <c r="K113" i="23"/>
  <c r="B114" i="23"/>
  <c r="C114" i="23"/>
  <c r="D114" i="23"/>
  <c r="E114" i="23"/>
  <c r="F114" i="23"/>
  <c r="L114" i="23"/>
  <c r="I114" i="23"/>
  <c r="J114" i="23"/>
  <c r="K114" i="23"/>
  <c r="B115" i="23"/>
  <c r="C115" i="23"/>
  <c r="D115" i="23"/>
  <c r="E115" i="23"/>
  <c r="F115" i="23"/>
  <c r="L115" i="23"/>
  <c r="I115" i="23"/>
  <c r="J115" i="23"/>
  <c r="K115" i="23"/>
  <c r="B116" i="23"/>
  <c r="C116" i="23"/>
  <c r="D116" i="23"/>
  <c r="E116" i="23"/>
  <c r="F116" i="23"/>
  <c r="L116" i="23"/>
  <c r="I116" i="23"/>
  <c r="J116" i="23"/>
  <c r="K116" i="23"/>
  <c r="B117" i="23"/>
  <c r="C117" i="23"/>
  <c r="D117" i="23"/>
  <c r="E117" i="23"/>
  <c r="F117" i="23"/>
  <c r="L117" i="23"/>
  <c r="I117" i="23"/>
  <c r="J117" i="23"/>
  <c r="K117" i="23"/>
  <c r="B118" i="23"/>
  <c r="C118" i="23"/>
  <c r="D118" i="23"/>
  <c r="E118" i="23"/>
  <c r="F118" i="23"/>
  <c r="L118" i="23"/>
  <c r="I118" i="23"/>
  <c r="J118" i="23"/>
  <c r="K118" i="23"/>
  <c r="B119" i="23"/>
  <c r="C119" i="23"/>
  <c r="D119" i="23"/>
  <c r="E119" i="23"/>
  <c r="F119" i="23"/>
  <c r="L119" i="23"/>
  <c r="I119" i="23"/>
  <c r="J119" i="23"/>
  <c r="K119" i="23"/>
  <c r="B120" i="23"/>
  <c r="C120" i="23"/>
  <c r="D120" i="23"/>
  <c r="E120" i="23"/>
  <c r="F120" i="23"/>
  <c r="L120" i="23"/>
  <c r="I120" i="23"/>
  <c r="J120" i="23"/>
  <c r="K120" i="23"/>
  <c r="B121" i="23"/>
  <c r="C121" i="23"/>
  <c r="D121" i="23"/>
  <c r="E121" i="23"/>
  <c r="F121" i="23"/>
  <c r="L121" i="23"/>
  <c r="I121" i="23"/>
  <c r="J121" i="23"/>
  <c r="K121" i="23"/>
  <c r="B122" i="23"/>
  <c r="C122" i="23"/>
  <c r="D122" i="23"/>
  <c r="E122" i="23"/>
  <c r="F122" i="23"/>
  <c r="L122" i="23"/>
  <c r="I122" i="23"/>
  <c r="J122" i="23"/>
  <c r="K122" i="23"/>
  <c r="B123" i="23"/>
  <c r="C123" i="23"/>
  <c r="D123" i="23"/>
  <c r="E123" i="23"/>
  <c r="F123" i="23"/>
  <c r="L123" i="23"/>
  <c r="I123" i="23"/>
  <c r="J123" i="23"/>
  <c r="K123" i="23"/>
  <c r="B124" i="23"/>
  <c r="C124" i="23"/>
  <c r="D124" i="23"/>
  <c r="E124" i="23"/>
  <c r="F124" i="23"/>
  <c r="L124" i="23"/>
  <c r="I124" i="23"/>
  <c r="J124" i="23"/>
  <c r="K124" i="23"/>
  <c r="B125" i="23"/>
  <c r="C125" i="23"/>
  <c r="D125" i="23"/>
  <c r="E125" i="23"/>
  <c r="F125" i="23"/>
  <c r="L125" i="23"/>
  <c r="I125" i="23"/>
  <c r="J125" i="23"/>
  <c r="K125" i="23"/>
  <c r="B126" i="23"/>
  <c r="C126" i="23"/>
  <c r="D126" i="23"/>
  <c r="E126" i="23"/>
  <c r="F126" i="23"/>
  <c r="L126" i="23"/>
  <c r="I126" i="23"/>
  <c r="J126" i="23"/>
  <c r="K126" i="23"/>
  <c r="B127" i="23"/>
  <c r="C127" i="23"/>
  <c r="D127" i="23"/>
  <c r="E127" i="23"/>
  <c r="F127" i="23"/>
  <c r="L127" i="23"/>
  <c r="I127" i="23"/>
  <c r="J127" i="23"/>
  <c r="K127" i="23"/>
  <c r="B128" i="23"/>
  <c r="C128" i="23"/>
  <c r="D128" i="23"/>
  <c r="E128" i="23"/>
  <c r="F128" i="23"/>
  <c r="L128" i="23"/>
  <c r="I128" i="23"/>
  <c r="J128" i="23"/>
  <c r="K128" i="23"/>
  <c r="B129" i="23"/>
  <c r="C129" i="23"/>
  <c r="D129" i="23"/>
  <c r="E129" i="23"/>
  <c r="F129" i="23"/>
  <c r="L129" i="23"/>
  <c r="I129" i="23"/>
  <c r="J129" i="23"/>
  <c r="K129" i="23"/>
  <c r="B130" i="23"/>
  <c r="C130" i="23"/>
  <c r="D130" i="23"/>
  <c r="E130" i="23"/>
  <c r="F130" i="23"/>
  <c r="L130" i="23"/>
  <c r="I130" i="23"/>
  <c r="J130" i="23"/>
  <c r="K130" i="23"/>
  <c r="B131" i="23"/>
  <c r="C131" i="23"/>
  <c r="D131" i="23"/>
  <c r="E131" i="23"/>
  <c r="F131" i="23"/>
  <c r="L131" i="23"/>
  <c r="I131" i="23"/>
  <c r="J131" i="23"/>
  <c r="K131" i="23"/>
  <c r="B132" i="23"/>
  <c r="C132" i="23"/>
  <c r="D132" i="23"/>
  <c r="E132" i="23"/>
  <c r="F132" i="23"/>
  <c r="L132" i="23"/>
  <c r="I132" i="23"/>
  <c r="J132" i="23"/>
  <c r="K132" i="23"/>
  <c r="B133" i="23"/>
  <c r="C133" i="23"/>
  <c r="D133" i="23"/>
  <c r="E133" i="23"/>
  <c r="F133" i="23"/>
  <c r="L133" i="23"/>
  <c r="I133" i="23"/>
  <c r="J133" i="23"/>
  <c r="K133" i="23"/>
  <c r="B134" i="23"/>
  <c r="C134" i="23"/>
  <c r="D134" i="23"/>
  <c r="E134" i="23"/>
  <c r="F134" i="23"/>
  <c r="L134" i="23"/>
  <c r="I134" i="23"/>
  <c r="J134" i="23"/>
  <c r="K134" i="23"/>
  <c r="B135" i="23"/>
  <c r="C135" i="23"/>
  <c r="D135" i="23"/>
  <c r="E135" i="23"/>
  <c r="F135" i="23"/>
  <c r="L135" i="23"/>
  <c r="I135" i="23"/>
  <c r="J135" i="23"/>
  <c r="K135" i="23"/>
  <c r="B136" i="23"/>
  <c r="C136" i="23"/>
  <c r="D136" i="23"/>
  <c r="E136" i="23"/>
  <c r="F136" i="23"/>
  <c r="L136" i="23"/>
  <c r="I136" i="23"/>
  <c r="J136" i="23"/>
  <c r="K136" i="23"/>
  <c r="B137" i="23"/>
  <c r="C137" i="23"/>
  <c r="D137" i="23"/>
  <c r="E137" i="23"/>
  <c r="F137" i="23"/>
  <c r="L137" i="23"/>
  <c r="I137" i="23"/>
  <c r="J137" i="23"/>
  <c r="K137" i="23"/>
  <c r="B138" i="23"/>
  <c r="C138" i="23"/>
  <c r="D138" i="23"/>
  <c r="E138" i="23"/>
  <c r="F138" i="23"/>
  <c r="L138" i="23"/>
  <c r="I138" i="23"/>
  <c r="J138" i="23"/>
  <c r="K138" i="23"/>
  <c r="B139" i="23"/>
  <c r="C139" i="23"/>
  <c r="D139" i="23"/>
  <c r="E139" i="23"/>
  <c r="F139" i="23"/>
  <c r="L139" i="23"/>
  <c r="I139" i="23"/>
  <c r="J139" i="23"/>
  <c r="K139" i="23"/>
  <c r="B140" i="23"/>
  <c r="C140" i="23"/>
  <c r="D140" i="23"/>
  <c r="E140" i="23"/>
  <c r="F140" i="23"/>
  <c r="L140" i="23"/>
  <c r="I140" i="23"/>
  <c r="J140" i="23"/>
  <c r="K140" i="23"/>
  <c r="B141" i="23"/>
  <c r="C141" i="23"/>
  <c r="D141" i="23"/>
  <c r="E141" i="23"/>
  <c r="F141" i="23"/>
  <c r="L141" i="23"/>
  <c r="I141" i="23"/>
  <c r="J141" i="23"/>
  <c r="K141" i="23"/>
  <c r="K4" i="23"/>
  <c r="B13" i="16"/>
  <c r="C13" i="16"/>
  <c r="D13" i="16"/>
  <c r="H13" i="16"/>
  <c r="B14" i="16"/>
  <c r="C14" i="16"/>
  <c r="D14" i="16"/>
  <c r="H14" i="16"/>
  <c r="B15" i="16"/>
  <c r="C15" i="16"/>
  <c r="D15" i="16"/>
  <c r="H15" i="16"/>
  <c r="B16" i="16"/>
  <c r="C16" i="16"/>
  <c r="D16" i="16"/>
  <c r="H16" i="16"/>
  <c r="B17" i="16"/>
  <c r="C17" i="16"/>
  <c r="D17" i="16"/>
  <c r="H17" i="16"/>
  <c r="B18" i="16"/>
  <c r="C18" i="16"/>
  <c r="D18" i="16"/>
  <c r="H18" i="16"/>
  <c r="B19" i="16"/>
  <c r="C19" i="16"/>
  <c r="D19" i="16"/>
  <c r="H19" i="16"/>
  <c r="B20" i="16"/>
  <c r="C20" i="16"/>
  <c r="D20" i="16"/>
  <c r="H20" i="16"/>
  <c r="B21" i="16"/>
  <c r="C21" i="16"/>
  <c r="D21" i="16"/>
  <c r="H21" i="16"/>
  <c r="B22" i="16"/>
  <c r="C22" i="16"/>
  <c r="D22" i="16"/>
  <c r="H22" i="16"/>
  <c r="B23" i="16"/>
  <c r="C23" i="16"/>
  <c r="D23" i="16"/>
  <c r="H23" i="16"/>
  <c r="B24" i="16"/>
  <c r="C24" i="16"/>
  <c r="D24" i="16"/>
  <c r="H24" i="16"/>
  <c r="B25" i="16"/>
  <c r="C25" i="16"/>
  <c r="D25" i="16"/>
  <c r="H25" i="16"/>
  <c r="B26" i="16"/>
  <c r="C26" i="16"/>
  <c r="D26" i="16"/>
  <c r="H26" i="16"/>
  <c r="B27" i="16"/>
  <c r="C27" i="16"/>
  <c r="D27" i="16"/>
  <c r="H27" i="16"/>
  <c r="B28" i="16"/>
  <c r="C28" i="16"/>
  <c r="D28" i="16"/>
  <c r="H28" i="16"/>
  <c r="B29" i="16"/>
  <c r="C29" i="16"/>
  <c r="D29" i="16"/>
  <c r="H29" i="16"/>
  <c r="B30" i="16"/>
  <c r="C30" i="16"/>
  <c r="D30" i="16"/>
  <c r="H30" i="16"/>
  <c r="B31" i="16"/>
  <c r="C31" i="16"/>
  <c r="D31" i="16"/>
  <c r="H31" i="16"/>
  <c r="B32" i="16"/>
  <c r="C32" i="16"/>
  <c r="D32" i="16"/>
  <c r="H32" i="16"/>
  <c r="B33" i="16"/>
  <c r="C33" i="16"/>
  <c r="D33" i="16"/>
  <c r="H33" i="16"/>
  <c r="B34" i="16"/>
  <c r="C34" i="16"/>
  <c r="D34" i="16"/>
  <c r="H34" i="16"/>
  <c r="B35" i="16"/>
  <c r="C35" i="16"/>
  <c r="D35" i="16"/>
  <c r="H35" i="16"/>
  <c r="B36" i="16"/>
  <c r="C36" i="16"/>
  <c r="D36" i="16"/>
  <c r="H36" i="16"/>
  <c r="B37" i="16"/>
  <c r="C37" i="16"/>
  <c r="D37" i="16"/>
  <c r="H37" i="16"/>
  <c r="C38" i="16"/>
  <c r="D38" i="16"/>
  <c r="H38" i="16"/>
  <c r="C39" i="16"/>
  <c r="D39" i="16"/>
  <c r="H39" i="16"/>
  <c r="C40" i="16"/>
  <c r="D40" i="16"/>
  <c r="H40" i="16"/>
  <c r="C41" i="16"/>
  <c r="D41" i="16"/>
  <c r="H41" i="16"/>
  <c r="C42" i="16"/>
  <c r="D42" i="16"/>
  <c r="H42" i="16"/>
  <c r="C43" i="16"/>
  <c r="D43" i="16"/>
  <c r="H43" i="16"/>
  <c r="C44" i="16"/>
  <c r="D44" i="16"/>
  <c r="H44" i="16"/>
  <c r="C45" i="16"/>
  <c r="D45" i="16"/>
  <c r="H45" i="16"/>
  <c r="C46" i="16"/>
  <c r="D46" i="16"/>
  <c r="H46" i="16"/>
  <c r="C47" i="16"/>
  <c r="D47" i="16"/>
  <c r="H47" i="16"/>
  <c r="C48" i="16"/>
  <c r="D48" i="16"/>
  <c r="H48" i="16"/>
  <c r="C49" i="16"/>
  <c r="D49" i="16"/>
  <c r="H49" i="16"/>
  <c r="C50" i="16"/>
  <c r="D50" i="16"/>
  <c r="H50" i="16"/>
  <c r="C51" i="16"/>
  <c r="D51" i="16"/>
  <c r="H51" i="16"/>
  <c r="C52" i="16"/>
  <c r="D52" i="16"/>
  <c r="H52" i="16"/>
  <c r="C53" i="16"/>
  <c r="D53" i="16"/>
  <c r="H53" i="16"/>
  <c r="C54" i="16"/>
  <c r="D54" i="16"/>
  <c r="H54" i="16"/>
  <c r="C55" i="16"/>
  <c r="D55" i="16"/>
  <c r="H55" i="16"/>
  <c r="C56" i="16"/>
  <c r="D56" i="16"/>
  <c r="H56" i="16"/>
  <c r="C57" i="16"/>
  <c r="D57" i="16"/>
  <c r="H57" i="16"/>
  <c r="C58" i="16"/>
  <c r="D58" i="16"/>
  <c r="H58" i="16"/>
  <c r="C59" i="16"/>
  <c r="D59" i="16"/>
  <c r="H59" i="16"/>
  <c r="C60" i="16"/>
  <c r="D60" i="16"/>
  <c r="H60" i="16"/>
  <c r="C61" i="16"/>
  <c r="D61" i="16"/>
  <c r="H61" i="16"/>
  <c r="C62" i="16"/>
  <c r="D62" i="16"/>
  <c r="H62" i="16"/>
  <c r="C63" i="16"/>
  <c r="D63" i="16"/>
  <c r="H63" i="16"/>
  <c r="C64" i="16"/>
  <c r="D64" i="16"/>
  <c r="H64" i="16"/>
  <c r="C65" i="16"/>
  <c r="D65" i="16"/>
  <c r="H65" i="16"/>
  <c r="C66" i="16"/>
  <c r="D66" i="16"/>
  <c r="H66" i="16"/>
  <c r="C67" i="16"/>
  <c r="D67" i="16"/>
  <c r="H67" i="16"/>
  <c r="C68" i="16"/>
  <c r="D68" i="16"/>
  <c r="H68" i="16"/>
  <c r="C69" i="16"/>
  <c r="D69" i="16"/>
  <c r="H69" i="16"/>
  <c r="C70" i="16"/>
  <c r="D70" i="16"/>
  <c r="H70" i="16"/>
  <c r="C71" i="16"/>
  <c r="D71" i="16"/>
  <c r="H71" i="16"/>
  <c r="C72" i="16"/>
  <c r="D72" i="16"/>
  <c r="H72" i="16"/>
  <c r="C73" i="16"/>
  <c r="D73" i="16"/>
  <c r="H73" i="16"/>
  <c r="C74" i="16"/>
  <c r="D74" i="16"/>
  <c r="H74" i="16"/>
  <c r="C75" i="16"/>
  <c r="D75" i="16"/>
  <c r="H75" i="16"/>
  <c r="C76" i="16"/>
  <c r="D76" i="16"/>
  <c r="H76" i="16"/>
  <c r="C77" i="16"/>
  <c r="D77" i="16"/>
  <c r="H77" i="16"/>
  <c r="C78" i="16"/>
  <c r="D78" i="16"/>
  <c r="H78" i="16"/>
  <c r="C79" i="16"/>
  <c r="D79" i="16"/>
  <c r="H79" i="16"/>
  <c r="C80" i="16"/>
  <c r="D80" i="16"/>
  <c r="H80" i="16"/>
  <c r="C81" i="16"/>
  <c r="D81" i="16"/>
  <c r="H81" i="16"/>
  <c r="C82" i="16"/>
  <c r="D82" i="16"/>
  <c r="H82" i="16"/>
  <c r="C83" i="16"/>
  <c r="D83" i="16"/>
  <c r="H83" i="16"/>
  <c r="C84" i="16"/>
  <c r="D84" i="16"/>
  <c r="H84" i="16"/>
  <c r="B85" i="16"/>
  <c r="C85" i="16"/>
  <c r="D85" i="16"/>
  <c r="H85" i="16"/>
  <c r="B86" i="16"/>
  <c r="C86" i="16"/>
  <c r="D86" i="16"/>
  <c r="H86" i="16"/>
  <c r="B87" i="16"/>
  <c r="C87" i="16"/>
  <c r="D87" i="16"/>
  <c r="H87" i="16"/>
  <c r="B88" i="16"/>
  <c r="C88" i="16"/>
  <c r="D88" i="16"/>
  <c r="H88" i="16"/>
  <c r="B89" i="16"/>
  <c r="C89" i="16"/>
  <c r="D89" i="16"/>
  <c r="H89" i="16"/>
  <c r="B90" i="16"/>
  <c r="C90" i="16"/>
  <c r="D90" i="16"/>
  <c r="H90" i="16"/>
  <c r="B91" i="16"/>
  <c r="C91" i="16"/>
  <c r="D91" i="16"/>
  <c r="H91" i="16"/>
  <c r="B92" i="16"/>
  <c r="C92" i="16"/>
  <c r="D92" i="16"/>
  <c r="H92" i="16"/>
  <c r="C93" i="16"/>
  <c r="D93" i="16"/>
  <c r="H93" i="16"/>
  <c r="C94" i="16"/>
  <c r="D94" i="16"/>
  <c r="H94" i="16"/>
  <c r="C95" i="16"/>
  <c r="D95" i="16"/>
  <c r="H95" i="16"/>
  <c r="C96" i="16"/>
  <c r="D96" i="16"/>
  <c r="H96" i="16"/>
  <c r="C97" i="16"/>
  <c r="D97" i="16"/>
  <c r="H97" i="16"/>
  <c r="C98" i="16"/>
  <c r="D98" i="16"/>
  <c r="H98" i="16"/>
  <c r="C99" i="16"/>
  <c r="D99" i="16"/>
  <c r="H99" i="16"/>
  <c r="C100" i="16"/>
  <c r="D100" i="16"/>
  <c r="H100" i="16"/>
  <c r="C101" i="16"/>
  <c r="D101" i="16"/>
  <c r="H101" i="16"/>
  <c r="C102" i="16"/>
  <c r="D102" i="16"/>
  <c r="H102" i="16"/>
  <c r="C103" i="16"/>
  <c r="D103" i="16"/>
  <c r="H103" i="16"/>
  <c r="C104" i="16"/>
  <c r="D104" i="16"/>
  <c r="H104" i="16"/>
  <c r="C105" i="16"/>
  <c r="D105" i="16"/>
  <c r="H105" i="16"/>
  <c r="C106" i="16"/>
  <c r="D106" i="16"/>
  <c r="H106" i="16"/>
  <c r="C107" i="16"/>
  <c r="D107" i="16"/>
  <c r="H107" i="16"/>
  <c r="C108" i="16"/>
  <c r="D108" i="16"/>
  <c r="H108" i="16"/>
  <c r="C109" i="16"/>
  <c r="D109" i="16"/>
  <c r="H109" i="16"/>
  <c r="C110" i="16"/>
  <c r="D110" i="16"/>
  <c r="H110" i="16"/>
  <c r="C111" i="16"/>
  <c r="D111" i="16"/>
  <c r="H111" i="16"/>
  <c r="C112" i="16"/>
  <c r="D112" i="16"/>
  <c r="H112" i="16"/>
  <c r="C113" i="16"/>
  <c r="D113" i="16"/>
  <c r="H113" i="16"/>
  <c r="C114" i="16"/>
  <c r="D114" i="16"/>
  <c r="H114" i="16"/>
  <c r="C115" i="16"/>
  <c r="D115" i="16"/>
  <c r="H115" i="16"/>
  <c r="C116" i="16"/>
  <c r="D116" i="16"/>
  <c r="H116" i="16"/>
  <c r="C117" i="16"/>
  <c r="D117" i="16"/>
  <c r="H117" i="16"/>
  <c r="C118" i="16"/>
  <c r="D118" i="16"/>
  <c r="H118" i="16"/>
  <c r="C119" i="16"/>
  <c r="D119" i="16"/>
  <c r="H119" i="16"/>
  <c r="C120" i="16"/>
  <c r="D120" i="16"/>
  <c r="H120" i="16"/>
  <c r="C121" i="16"/>
  <c r="D121" i="16"/>
  <c r="H121" i="16"/>
  <c r="C122" i="16"/>
  <c r="D122" i="16"/>
  <c r="H122" i="16"/>
  <c r="C123" i="16"/>
  <c r="D123" i="16"/>
  <c r="H123" i="16"/>
  <c r="C124" i="16"/>
  <c r="D124" i="16"/>
  <c r="H124" i="16"/>
  <c r="C125" i="16"/>
  <c r="D125" i="16"/>
  <c r="H125" i="16"/>
  <c r="C126" i="16"/>
  <c r="D126" i="16"/>
  <c r="H126" i="16"/>
  <c r="C127" i="16"/>
  <c r="D127" i="16"/>
  <c r="H127" i="16"/>
  <c r="C128" i="16"/>
  <c r="D128" i="16"/>
  <c r="H128" i="16"/>
  <c r="C129" i="16"/>
  <c r="D129" i="16"/>
  <c r="H129" i="16"/>
  <c r="C130" i="16"/>
  <c r="D130" i="16"/>
  <c r="H130" i="16"/>
  <c r="C131" i="16"/>
  <c r="D131" i="16"/>
  <c r="H131" i="16"/>
  <c r="C132" i="16"/>
  <c r="D132" i="16"/>
  <c r="H132" i="16"/>
  <c r="C133" i="16"/>
  <c r="D133" i="16"/>
  <c r="H133" i="16"/>
  <c r="C134" i="16"/>
  <c r="D134" i="16"/>
  <c r="H134" i="16"/>
  <c r="C135" i="16"/>
  <c r="D135" i="16"/>
  <c r="H135" i="16"/>
  <c r="C136" i="16"/>
  <c r="D136" i="16"/>
  <c r="H136" i="16"/>
  <c r="C137" i="16"/>
  <c r="D137" i="16"/>
  <c r="H137" i="16"/>
  <c r="C138" i="16"/>
  <c r="D138" i="16"/>
  <c r="H138" i="16"/>
  <c r="C139" i="16"/>
  <c r="D139" i="16"/>
  <c r="H139" i="16"/>
  <c r="C140" i="16"/>
  <c r="D140" i="16"/>
  <c r="H140" i="16"/>
  <c r="C141" i="16"/>
  <c r="D141" i="16"/>
  <c r="H141" i="16"/>
  <c r="H12" i="16"/>
  <c r="H12" i="23"/>
  <c r="G4" i="23"/>
  <c r="G2" i="23"/>
  <c r="K2" i="23"/>
  <c r="B8" i="23"/>
  <c r="O8" i="21"/>
  <c r="O7" i="21"/>
  <c r="J5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/>
  <c r="I73" i="22"/>
  <c r="I74" i="22"/>
  <c r="I75" i="22"/>
  <c r="I76" i="22"/>
  <c r="I77" i="22"/>
  <c r="I78" i="22"/>
  <c r="I79" i="22"/>
  <c r="I80" i="22"/>
  <c r="I81" i="22"/>
  <c r="I82" i="22"/>
  <c r="I83" i="22"/>
  <c r="I84" i="22"/>
  <c r="I85" i="22"/>
  <c r="I86" i="22"/>
  <c r="I87" i="22"/>
  <c r="I88" i="22"/>
  <c r="I89" i="22"/>
  <c r="I90" i="22"/>
  <c r="I91" i="22"/>
  <c r="I92" i="22"/>
  <c r="I93" i="22"/>
  <c r="I94" i="22"/>
  <c r="I95" i="22"/>
  <c r="I96" i="22"/>
  <c r="I97" i="22"/>
  <c r="I98" i="22"/>
  <c r="I99" i="22"/>
  <c r="I100" i="22"/>
  <c r="I101" i="22"/>
  <c r="I102" i="22"/>
  <c r="I103" i="22"/>
  <c r="I104" i="22"/>
  <c r="I105" i="22"/>
  <c r="I106" i="22"/>
  <c r="I107" i="22"/>
  <c r="I108" i="22"/>
  <c r="I109" i="22"/>
  <c r="I110" i="22"/>
  <c r="I111" i="22"/>
  <c r="I112" i="22"/>
  <c r="I113" i="22"/>
  <c r="I114" i="22"/>
  <c r="I115" i="22"/>
  <c r="I116" i="22"/>
  <c r="I117" i="22"/>
  <c r="I118" i="22"/>
  <c r="I119" i="22"/>
  <c r="I120" i="22"/>
  <c r="I121" i="22"/>
  <c r="I122" i="22"/>
  <c r="I123" i="22"/>
  <c r="I124" i="22"/>
  <c r="I125" i="22"/>
  <c r="I126" i="22"/>
  <c r="I127" i="22"/>
  <c r="I128" i="22"/>
  <c r="I129" i="22"/>
  <c r="I130" i="22"/>
  <c r="I131" i="22"/>
  <c r="I132" i="22"/>
  <c r="I133" i="22"/>
  <c r="I134" i="22"/>
  <c r="I135" i="22"/>
  <c r="I136" i="22"/>
  <c r="I137" i="22"/>
  <c r="I138" i="22"/>
  <c r="I139" i="22"/>
  <c r="I140" i="22"/>
  <c r="I141" i="22"/>
  <c r="I142" i="22"/>
  <c r="I143" i="22"/>
  <c r="I144" i="22"/>
  <c r="I145" i="22"/>
  <c r="I146" i="22"/>
  <c r="I147" i="22"/>
  <c r="I148" i="22"/>
  <c r="I149" i="22"/>
  <c r="I150" i="22"/>
  <c r="I151" i="22"/>
  <c r="I152" i="22"/>
  <c r="I153" i="22"/>
  <c r="I154" i="22"/>
  <c r="I155" i="22"/>
  <c r="I156" i="22"/>
  <c r="I157" i="22"/>
  <c r="I158" i="22"/>
  <c r="I159" i="22"/>
  <c r="I160" i="22"/>
  <c r="I161" i="22"/>
  <c r="I162" i="22"/>
  <c r="I163" i="22"/>
  <c r="I164" i="22"/>
  <c r="I165" i="22"/>
  <c r="I166" i="22"/>
  <c r="I167" i="22"/>
  <c r="I168" i="22"/>
  <c r="I169" i="22"/>
  <c r="I170" i="22"/>
  <c r="I171" i="22"/>
  <c r="I172" i="22"/>
  <c r="I173" i="22"/>
  <c r="I174" i="22"/>
  <c r="I175" i="22"/>
  <c r="I176" i="22"/>
  <c r="I177" i="22"/>
  <c r="I178" i="22"/>
  <c r="I179" i="22"/>
  <c r="I180" i="22"/>
  <c r="K181" i="22"/>
  <c r="L181" i="22"/>
  <c r="I181" i="22"/>
  <c r="M181" i="22"/>
  <c r="N181" i="22"/>
  <c r="O181" i="22"/>
  <c r="J181" i="22"/>
  <c r="J180" i="22"/>
  <c r="J179" i="22"/>
  <c r="J178" i="22"/>
  <c r="J177" i="22"/>
  <c r="J176" i="22"/>
  <c r="J175" i="22"/>
  <c r="J174" i="22"/>
  <c r="J173" i="22"/>
  <c r="J172" i="22"/>
  <c r="J171" i="22"/>
  <c r="J170" i="22"/>
  <c r="J169" i="22"/>
  <c r="J168" i="22"/>
  <c r="J167" i="22"/>
  <c r="J166" i="22"/>
  <c r="J165" i="22"/>
  <c r="J164" i="22"/>
  <c r="J163" i="22"/>
  <c r="J162" i="22"/>
  <c r="J161" i="22"/>
  <c r="J160" i="22"/>
  <c r="J159" i="22"/>
  <c r="J158" i="22"/>
  <c r="J157" i="22"/>
  <c r="J156" i="22"/>
  <c r="J155" i="22"/>
  <c r="J154" i="22"/>
  <c r="J153" i="22"/>
  <c r="J152" i="22"/>
  <c r="J151" i="22"/>
  <c r="J150" i="22"/>
  <c r="J149" i="22"/>
  <c r="J148" i="22"/>
  <c r="J147" i="22"/>
  <c r="J146" i="22"/>
  <c r="J145" i="22"/>
  <c r="J144" i="22"/>
  <c r="J143" i="22"/>
  <c r="J142" i="22"/>
  <c r="J141" i="22"/>
  <c r="J140" i="22"/>
  <c r="J139" i="22"/>
  <c r="J138" i="22"/>
  <c r="J137" i="22"/>
  <c r="J136" i="22"/>
  <c r="J135" i="22"/>
  <c r="J134" i="22"/>
  <c r="J133" i="22"/>
  <c r="J132" i="22"/>
  <c r="J131" i="22"/>
  <c r="J130" i="22"/>
  <c r="J129" i="22"/>
  <c r="J128" i="22"/>
  <c r="J127" i="22"/>
  <c r="J126" i="22"/>
  <c r="J125" i="22"/>
  <c r="J124" i="22"/>
  <c r="J123" i="22"/>
  <c r="J122" i="22"/>
  <c r="J121" i="22"/>
  <c r="J120" i="22"/>
  <c r="J119" i="22"/>
  <c r="J118" i="22"/>
  <c r="J117" i="22"/>
  <c r="J116" i="22"/>
  <c r="J115" i="22"/>
  <c r="J114" i="22"/>
  <c r="J113" i="22"/>
  <c r="J112" i="22"/>
  <c r="J111" i="22"/>
  <c r="J110" i="22"/>
  <c r="J109" i="22"/>
  <c r="J108" i="22"/>
  <c r="J107" i="22"/>
  <c r="J106" i="22"/>
  <c r="J105" i="22"/>
  <c r="J104" i="22"/>
  <c r="J103" i="22"/>
  <c r="J102" i="22"/>
  <c r="J101" i="22"/>
  <c r="J100" i="22"/>
  <c r="J99" i="22"/>
  <c r="J98" i="22"/>
  <c r="J97" i="22"/>
  <c r="J96" i="22"/>
  <c r="J95" i="22"/>
  <c r="J94" i="22"/>
  <c r="J93" i="22"/>
  <c r="J92" i="22"/>
  <c r="J91" i="22"/>
  <c r="J90" i="22"/>
  <c r="J89" i="22"/>
  <c r="J88" i="22"/>
  <c r="J87" i="22"/>
  <c r="J86" i="22"/>
  <c r="J85" i="22"/>
  <c r="J84" i="22"/>
  <c r="J83" i="22"/>
  <c r="J82" i="22"/>
  <c r="J81" i="22"/>
  <c r="J80" i="22"/>
  <c r="J79" i="22"/>
  <c r="J78" i="22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I12" i="22"/>
  <c r="G12" i="22"/>
  <c r="B16" i="18"/>
  <c r="H17" i="20"/>
  <c r="B17" i="20"/>
  <c r="D17" i="20"/>
  <c r="H18" i="20"/>
  <c r="B18" i="20"/>
  <c r="D18" i="20"/>
  <c r="H19" i="20"/>
  <c r="B19" i="20"/>
  <c r="D19" i="20"/>
  <c r="H20" i="20"/>
  <c r="B20" i="20"/>
  <c r="D20" i="20"/>
  <c r="H21" i="20"/>
  <c r="B21" i="20"/>
  <c r="D21" i="20"/>
  <c r="H22" i="20"/>
  <c r="B22" i="20"/>
  <c r="D22" i="20"/>
  <c r="H23" i="20"/>
  <c r="B23" i="20"/>
  <c r="D23" i="20"/>
  <c r="H24" i="20"/>
  <c r="B24" i="20"/>
  <c r="D24" i="20"/>
  <c r="H25" i="20"/>
  <c r="B25" i="20"/>
  <c r="D25" i="20"/>
  <c r="H26" i="20"/>
  <c r="B26" i="20"/>
  <c r="D26" i="20"/>
  <c r="H27" i="20"/>
  <c r="B27" i="20"/>
  <c r="D27" i="20"/>
  <c r="H28" i="20"/>
  <c r="B28" i="20"/>
  <c r="D28" i="20"/>
  <c r="H29" i="20"/>
  <c r="B29" i="20"/>
  <c r="D29" i="20"/>
  <c r="H30" i="20"/>
  <c r="B30" i="20"/>
  <c r="D30" i="20"/>
  <c r="H31" i="20"/>
  <c r="B31" i="20"/>
  <c r="D31" i="20"/>
  <c r="H32" i="20"/>
  <c r="B32" i="20"/>
  <c r="D32" i="20"/>
  <c r="H33" i="20"/>
  <c r="B33" i="20"/>
  <c r="D33" i="20"/>
  <c r="H34" i="20"/>
  <c r="B34" i="20"/>
  <c r="D34" i="20"/>
  <c r="H35" i="20"/>
  <c r="B35" i="20"/>
  <c r="D35" i="20"/>
  <c r="H36" i="20"/>
  <c r="B36" i="20"/>
  <c r="D36" i="20"/>
  <c r="H37" i="20"/>
  <c r="B37" i="20"/>
  <c r="D37" i="20"/>
  <c r="H38" i="20"/>
  <c r="B38" i="20"/>
  <c r="D38" i="20"/>
  <c r="H39" i="20"/>
  <c r="B39" i="20"/>
  <c r="D39" i="20"/>
  <c r="H40" i="20"/>
  <c r="B40" i="20"/>
  <c r="D40" i="20"/>
  <c r="H41" i="20"/>
  <c r="B41" i="20"/>
  <c r="D41" i="20"/>
  <c r="H42" i="20"/>
  <c r="B42" i="20"/>
  <c r="D42" i="20"/>
  <c r="H43" i="20"/>
  <c r="B43" i="20"/>
  <c r="D43" i="20"/>
  <c r="H44" i="20"/>
  <c r="B44" i="20"/>
  <c r="D44" i="20"/>
  <c r="H45" i="20"/>
  <c r="B45" i="20"/>
  <c r="D45" i="20"/>
  <c r="H46" i="20"/>
  <c r="B46" i="20"/>
  <c r="D46" i="20"/>
  <c r="H47" i="20"/>
  <c r="B47" i="20"/>
  <c r="D47" i="20"/>
  <c r="H48" i="20"/>
  <c r="B48" i="20"/>
  <c r="D48" i="20"/>
  <c r="H49" i="20"/>
  <c r="B49" i="20"/>
  <c r="D49" i="20"/>
  <c r="H50" i="20"/>
  <c r="B50" i="20"/>
  <c r="D50" i="20"/>
  <c r="H51" i="20"/>
  <c r="B51" i="20"/>
  <c r="D51" i="20"/>
  <c r="H52" i="20"/>
  <c r="B52" i="20"/>
  <c r="D52" i="20"/>
  <c r="H53" i="20"/>
  <c r="B53" i="20"/>
  <c r="D53" i="20"/>
  <c r="H54" i="20"/>
  <c r="B54" i="20"/>
  <c r="D54" i="20"/>
  <c r="H55" i="20"/>
  <c r="B55" i="20"/>
  <c r="D55" i="20"/>
  <c r="H56" i="20"/>
  <c r="B56" i="20"/>
  <c r="D56" i="20"/>
  <c r="H57" i="20"/>
  <c r="B57" i="20"/>
  <c r="C57" i="20"/>
  <c r="D57" i="20"/>
  <c r="H58" i="20"/>
  <c r="B58" i="20"/>
  <c r="C58" i="20"/>
  <c r="D58" i="20"/>
  <c r="H59" i="20"/>
  <c r="B59" i="20"/>
  <c r="C59" i="20"/>
  <c r="D59" i="20"/>
  <c r="H60" i="20"/>
  <c r="B60" i="20"/>
  <c r="C60" i="20"/>
  <c r="D60" i="20"/>
  <c r="H61" i="20"/>
  <c r="B61" i="20"/>
  <c r="C61" i="20"/>
  <c r="D61" i="20"/>
  <c r="H62" i="20"/>
  <c r="B62" i="20"/>
  <c r="C62" i="20"/>
  <c r="D62" i="20"/>
  <c r="H63" i="20"/>
  <c r="B63" i="20"/>
  <c r="C63" i="20"/>
  <c r="D63" i="20"/>
  <c r="H64" i="20"/>
  <c r="B64" i="20"/>
  <c r="C64" i="20"/>
  <c r="D64" i="20"/>
  <c r="H65" i="20"/>
  <c r="B65" i="20"/>
  <c r="C65" i="20"/>
  <c r="D65" i="20"/>
  <c r="H66" i="20"/>
  <c r="B66" i="20"/>
  <c r="C66" i="20"/>
  <c r="D66" i="20"/>
  <c r="H67" i="20"/>
  <c r="B67" i="20"/>
  <c r="C67" i="20"/>
  <c r="D67" i="20"/>
  <c r="H68" i="20"/>
  <c r="B68" i="20"/>
  <c r="C68" i="20"/>
  <c r="D68" i="20"/>
  <c r="H69" i="20"/>
  <c r="B69" i="20"/>
  <c r="C69" i="20"/>
  <c r="D69" i="20"/>
  <c r="H70" i="20"/>
  <c r="B70" i="20"/>
  <c r="C70" i="20"/>
  <c r="D70" i="20"/>
  <c r="H71" i="20"/>
  <c r="B71" i="20"/>
  <c r="C71" i="20"/>
  <c r="D71" i="20"/>
  <c r="H72" i="20"/>
  <c r="B72" i="20"/>
  <c r="C72" i="20"/>
  <c r="D72" i="20"/>
  <c r="H73" i="20"/>
  <c r="B73" i="20"/>
  <c r="C73" i="20"/>
  <c r="D73" i="20"/>
  <c r="H74" i="20"/>
  <c r="B74" i="20"/>
  <c r="C74" i="20"/>
  <c r="D74" i="20"/>
  <c r="H75" i="20"/>
  <c r="B75" i="20"/>
  <c r="C75" i="20"/>
  <c r="D75" i="20"/>
  <c r="H76" i="20"/>
  <c r="B76" i="20"/>
  <c r="C76" i="20"/>
  <c r="D76" i="20"/>
  <c r="H77" i="20"/>
  <c r="B77" i="20"/>
  <c r="C77" i="20"/>
  <c r="D77" i="20"/>
  <c r="H78" i="20"/>
  <c r="B78" i="20"/>
  <c r="C78" i="20"/>
  <c r="D78" i="20"/>
  <c r="H79" i="20"/>
  <c r="B79" i="20"/>
  <c r="C79" i="20"/>
  <c r="D79" i="20"/>
  <c r="H80" i="20"/>
  <c r="B80" i="20"/>
  <c r="C80" i="20"/>
  <c r="D80" i="20"/>
  <c r="H81" i="20"/>
  <c r="B81" i="20"/>
  <c r="C81" i="20"/>
  <c r="D81" i="20"/>
  <c r="H82" i="20"/>
  <c r="B82" i="20"/>
  <c r="C82" i="20"/>
  <c r="D82" i="20"/>
  <c r="H83" i="20"/>
  <c r="B83" i="20"/>
  <c r="C83" i="20"/>
  <c r="D83" i="20"/>
  <c r="H84" i="20"/>
  <c r="B84" i="20"/>
  <c r="C84" i="20"/>
  <c r="D84" i="20"/>
  <c r="H85" i="20"/>
  <c r="B85" i="20"/>
  <c r="C85" i="20"/>
  <c r="D85" i="20"/>
  <c r="H86" i="20"/>
  <c r="B86" i="20"/>
  <c r="C86" i="20"/>
  <c r="D86" i="20"/>
  <c r="H87" i="20"/>
  <c r="B87" i="20"/>
  <c r="C87" i="20"/>
  <c r="D87" i="20"/>
  <c r="H88" i="20"/>
  <c r="B88" i="20"/>
  <c r="C88" i="20"/>
  <c r="D88" i="20"/>
  <c r="H89" i="20"/>
  <c r="B89" i="20"/>
  <c r="C89" i="20"/>
  <c r="D89" i="20"/>
  <c r="H90" i="20"/>
  <c r="B90" i="20"/>
  <c r="C90" i="20"/>
  <c r="D90" i="20"/>
  <c r="H91" i="20"/>
  <c r="B91" i="20"/>
  <c r="C91" i="20"/>
  <c r="D91" i="20"/>
  <c r="H92" i="20"/>
  <c r="B92" i="20"/>
  <c r="C92" i="20"/>
  <c r="D92" i="20"/>
  <c r="H93" i="20"/>
  <c r="B93" i="20"/>
  <c r="C93" i="20"/>
  <c r="D93" i="20"/>
  <c r="H94" i="20"/>
  <c r="B94" i="20"/>
  <c r="C94" i="20"/>
  <c r="D94" i="20"/>
  <c r="H95" i="20"/>
  <c r="B95" i="20"/>
  <c r="C95" i="20"/>
  <c r="D95" i="20"/>
  <c r="H96" i="20"/>
  <c r="B96" i="20"/>
  <c r="C96" i="20"/>
  <c r="D96" i="20"/>
  <c r="H97" i="20"/>
  <c r="B97" i="20"/>
  <c r="C97" i="20"/>
  <c r="D97" i="20"/>
  <c r="H98" i="20"/>
  <c r="B98" i="20"/>
  <c r="C98" i="20"/>
  <c r="D98" i="20"/>
  <c r="H99" i="20"/>
  <c r="B99" i="20"/>
  <c r="C99" i="20"/>
  <c r="D99" i="20"/>
  <c r="H100" i="20"/>
  <c r="B100" i="20"/>
  <c r="C100" i="20"/>
  <c r="D100" i="20"/>
  <c r="H101" i="20"/>
  <c r="B101" i="20"/>
  <c r="F17" i="20"/>
  <c r="G17" i="20"/>
  <c r="F18" i="20"/>
  <c r="G18" i="20"/>
  <c r="F19" i="20"/>
  <c r="G19" i="20"/>
  <c r="F20" i="20"/>
  <c r="G20" i="20"/>
  <c r="F21" i="20"/>
  <c r="G21" i="20"/>
  <c r="F22" i="20"/>
  <c r="G22" i="20"/>
  <c r="F23" i="20"/>
  <c r="G23" i="20"/>
  <c r="F24" i="20"/>
  <c r="G24" i="20"/>
  <c r="F25" i="20"/>
  <c r="G25" i="20"/>
  <c r="F26" i="20"/>
  <c r="G26" i="20"/>
  <c r="F27" i="20"/>
  <c r="G27" i="20"/>
  <c r="F28" i="20"/>
  <c r="G28" i="20"/>
  <c r="F29" i="20"/>
  <c r="G29" i="20"/>
  <c r="F30" i="20"/>
  <c r="G30" i="20"/>
  <c r="F31" i="20"/>
  <c r="G31" i="20"/>
  <c r="F32" i="20"/>
  <c r="G32" i="20"/>
  <c r="F33" i="20"/>
  <c r="G33" i="20"/>
  <c r="F34" i="20"/>
  <c r="G34" i="20"/>
  <c r="F35" i="20"/>
  <c r="G35" i="20"/>
  <c r="F36" i="20"/>
  <c r="G36" i="20"/>
  <c r="F37" i="20"/>
  <c r="G37" i="20"/>
  <c r="F38" i="20"/>
  <c r="G38" i="20"/>
  <c r="F39" i="20"/>
  <c r="G39" i="20"/>
  <c r="F40" i="20"/>
  <c r="G40" i="20"/>
  <c r="F41" i="20"/>
  <c r="G41" i="20"/>
  <c r="F42" i="20"/>
  <c r="G42" i="20"/>
  <c r="F43" i="20"/>
  <c r="G43" i="20"/>
  <c r="F44" i="20"/>
  <c r="G44" i="20"/>
  <c r="F45" i="20"/>
  <c r="G45" i="20"/>
  <c r="F46" i="20"/>
  <c r="G46" i="20"/>
  <c r="F47" i="20"/>
  <c r="G47" i="20"/>
  <c r="F48" i="20"/>
  <c r="G48" i="20"/>
  <c r="F49" i="20"/>
  <c r="G49" i="20"/>
  <c r="F50" i="20"/>
  <c r="G50" i="20"/>
  <c r="F51" i="20"/>
  <c r="G51" i="20"/>
  <c r="F52" i="20"/>
  <c r="G52" i="20"/>
  <c r="F53" i="20"/>
  <c r="G53" i="20"/>
  <c r="F54" i="20"/>
  <c r="G54" i="20"/>
  <c r="F55" i="20"/>
  <c r="G55" i="20"/>
  <c r="F56" i="20"/>
  <c r="G56" i="20"/>
  <c r="F57" i="20"/>
  <c r="G57" i="20"/>
  <c r="F58" i="20"/>
  <c r="G58" i="20"/>
  <c r="F59" i="20"/>
  <c r="G59" i="20"/>
  <c r="F60" i="20"/>
  <c r="G60" i="20"/>
  <c r="F61" i="20"/>
  <c r="G61" i="20"/>
  <c r="F62" i="20"/>
  <c r="G62" i="20"/>
  <c r="F63" i="20"/>
  <c r="G63" i="20"/>
  <c r="F64" i="20"/>
  <c r="G64" i="20"/>
  <c r="F65" i="20"/>
  <c r="G65" i="20"/>
  <c r="F66" i="20"/>
  <c r="G66" i="20"/>
  <c r="F67" i="20"/>
  <c r="G67" i="20"/>
  <c r="F68" i="20"/>
  <c r="G68" i="20"/>
  <c r="F69" i="20"/>
  <c r="G69" i="20"/>
  <c r="F70" i="20"/>
  <c r="G70" i="20"/>
  <c r="F71" i="20"/>
  <c r="G71" i="20"/>
  <c r="F72" i="20"/>
  <c r="G72" i="20"/>
  <c r="F73" i="20"/>
  <c r="G73" i="20"/>
  <c r="F74" i="20"/>
  <c r="G74" i="20"/>
  <c r="F75" i="20"/>
  <c r="G75" i="20"/>
  <c r="F76" i="20"/>
  <c r="G76" i="20"/>
  <c r="F77" i="20"/>
  <c r="G77" i="20"/>
  <c r="F78" i="20"/>
  <c r="G78" i="20"/>
  <c r="F79" i="20"/>
  <c r="G79" i="20"/>
  <c r="F80" i="20"/>
  <c r="G80" i="20"/>
  <c r="F81" i="20"/>
  <c r="G81" i="20"/>
  <c r="F82" i="20"/>
  <c r="G82" i="20"/>
  <c r="F83" i="20"/>
  <c r="G83" i="20"/>
  <c r="F84" i="20"/>
  <c r="G84" i="20"/>
  <c r="F85" i="20"/>
  <c r="G85" i="20"/>
  <c r="F86" i="20"/>
  <c r="G86" i="20"/>
  <c r="F87" i="20"/>
  <c r="G87" i="20"/>
  <c r="F88" i="20"/>
  <c r="G88" i="20"/>
  <c r="F89" i="20"/>
  <c r="G89" i="20"/>
  <c r="F90" i="20"/>
  <c r="G90" i="20"/>
  <c r="F91" i="20"/>
  <c r="G91" i="20"/>
  <c r="F92" i="20"/>
  <c r="G92" i="20"/>
  <c r="F93" i="20"/>
  <c r="G93" i="20"/>
  <c r="F94" i="20"/>
  <c r="G94" i="20"/>
  <c r="F95" i="20"/>
  <c r="G95" i="20"/>
  <c r="F96" i="20"/>
  <c r="G96" i="20"/>
  <c r="F97" i="20"/>
  <c r="G97" i="20"/>
  <c r="F98" i="20"/>
  <c r="G98" i="20"/>
  <c r="F99" i="20"/>
  <c r="G99" i="20"/>
  <c r="F100" i="20"/>
  <c r="G100" i="20"/>
  <c r="C101" i="20"/>
  <c r="D101" i="20"/>
  <c r="F101" i="20"/>
  <c r="J101" i="20"/>
  <c r="G101" i="20"/>
  <c r="J100" i="20"/>
  <c r="J99" i="20"/>
  <c r="J98" i="20"/>
  <c r="J97" i="20"/>
  <c r="J96" i="20"/>
  <c r="J95" i="20"/>
  <c r="J94" i="20"/>
  <c r="J93" i="20"/>
  <c r="J92" i="20"/>
  <c r="J91" i="20"/>
  <c r="J90" i="20"/>
  <c r="J89" i="20"/>
  <c r="J88" i="20"/>
  <c r="J87" i="20"/>
  <c r="J86" i="20"/>
  <c r="J85" i="20"/>
  <c r="J84" i="20"/>
  <c r="J83" i="20"/>
  <c r="J82" i="20"/>
  <c r="J81" i="20"/>
  <c r="J80" i="20"/>
  <c r="J79" i="20"/>
  <c r="J78" i="20"/>
  <c r="J77" i="20"/>
  <c r="J76" i="20"/>
  <c r="J75" i="20"/>
  <c r="J74" i="20"/>
  <c r="J73" i="20"/>
  <c r="J72" i="20"/>
  <c r="J71" i="20"/>
  <c r="J70" i="20"/>
  <c r="J69" i="20"/>
  <c r="J68" i="20"/>
  <c r="J67" i="20"/>
  <c r="J66" i="20"/>
  <c r="J65" i="20"/>
  <c r="J64" i="20"/>
  <c r="J63" i="20"/>
  <c r="J62" i="20"/>
  <c r="J61" i="20"/>
  <c r="J60" i="20"/>
  <c r="J59" i="20"/>
  <c r="J58" i="20"/>
  <c r="J57" i="20"/>
  <c r="J56" i="20"/>
  <c r="J55" i="20"/>
  <c r="J54" i="20"/>
  <c r="J53" i="20"/>
  <c r="J52" i="20"/>
  <c r="J51" i="20"/>
  <c r="J50" i="20"/>
  <c r="J49" i="20"/>
  <c r="J48" i="20"/>
  <c r="J47" i="20"/>
  <c r="J46" i="20"/>
  <c r="J45" i="20"/>
  <c r="J44" i="20"/>
  <c r="J43" i="20"/>
  <c r="J42" i="20"/>
  <c r="J41" i="20"/>
  <c r="J40" i="20"/>
  <c r="J39" i="20"/>
  <c r="J38" i="20"/>
  <c r="J37" i="20"/>
  <c r="J36" i="20"/>
  <c r="J35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I16" i="18"/>
  <c r="H16" i="18"/>
  <c r="D16" i="18"/>
  <c r="F16" i="18"/>
  <c r="J16" i="18"/>
  <c r="H17" i="18"/>
  <c r="G16" i="18"/>
  <c r="I17" i="18"/>
  <c r="B17" i="18"/>
  <c r="D17" i="18"/>
  <c r="F17" i="18"/>
  <c r="J17" i="18"/>
  <c r="H18" i="18"/>
  <c r="G17" i="18"/>
  <c r="I18" i="18"/>
  <c r="B18" i="18"/>
  <c r="D18" i="18"/>
  <c r="F18" i="18"/>
  <c r="J18" i="18"/>
  <c r="H19" i="18"/>
  <c r="G18" i="18"/>
  <c r="I19" i="18"/>
  <c r="B19" i="18"/>
  <c r="D19" i="18"/>
  <c r="F19" i="18"/>
  <c r="J19" i="18"/>
  <c r="H20" i="18"/>
  <c r="G19" i="18"/>
  <c r="I20" i="18"/>
  <c r="B20" i="18"/>
  <c r="D20" i="18"/>
  <c r="F20" i="18"/>
  <c r="J20" i="18"/>
  <c r="H21" i="18"/>
  <c r="G20" i="18"/>
  <c r="I21" i="18"/>
  <c r="B21" i="18"/>
  <c r="D21" i="18"/>
  <c r="F21" i="18"/>
  <c r="J21" i="18"/>
  <c r="H22" i="18"/>
  <c r="G21" i="18"/>
  <c r="I22" i="18"/>
  <c r="B22" i="18"/>
  <c r="D22" i="18"/>
  <c r="F22" i="18"/>
  <c r="J22" i="18"/>
  <c r="H23" i="18"/>
  <c r="G22" i="18"/>
  <c r="I23" i="18"/>
  <c r="B23" i="18"/>
  <c r="D23" i="18"/>
  <c r="F23" i="18"/>
  <c r="J23" i="18"/>
  <c r="H24" i="18"/>
  <c r="G23" i="18"/>
  <c r="I24" i="18"/>
  <c r="B24" i="18"/>
  <c r="D24" i="18"/>
  <c r="F24" i="18"/>
  <c r="J24" i="18"/>
  <c r="H25" i="18"/>
  <c r="G24" i="18"/>
  <c r="I25" i="18"/>
  <c r="B25" i="18"/>
  <c r="D25" i="18"/>
  <c r="F25" i="18"/>
  <c r="J25" i="18"/>
  <c r="H26" i="18"/>
  <c r="G25" i="18"/>
  <c r="I26" i="18"/>
  <c r="B26" i="18"/>
  <c r="D26" i="18"/>
  <c r="F26" i="18"/>
  <c r="J26" i="18"/>
  <c r="H27" i="18"/>
  <c r="G26" i="18"/>
  <c r="I27" i="18"/>
  <c r="B27" i="18"/>
  <c r="D27" i="18"/>
  <c r="F27" i="18"/>
  <c r="J27" i="18"/>
  <c r="H28" i="18"/>
  <c r="G27" i="18"/>
  <c r="I28" i="18"/>
  <c r="B28" i="18"/>
  <c r="D28" i="18"/>
  <c r="F28" i="18"/>
  <c r="J28" i="18"/>
  <c r="H29" i="18"/>
  <c r="G28" i="18"/>
  <c r="I29" i="18"/>
  <c r="B29" i="18"/>
  <c r="D29" i="18"/>
  <c r="F29" i="18"/>
  <c r="J29" i="18"/>
  <c r="H30" i="18"/>
  <c r="G29" i="18"/>
  <c r="I30" i="18"/>
  <c r="B30" i="18"/>
  <c r="D30" i="18"/>
  <c r="F30" i="18"/>
  <c r="J30" i="18"/>
  <c r="H31" i="18"/>
  <c r="G30" i="18"/>
  <c r="I31" i="18"/>
  <c r="B31" i="18"/>
  <c r="D31" i="18"/>
  <c r="F31" i="18"/>
  <c r="J31" i="18"/>
  <c r="H32" i="18"/>
  <c r="G31" i="18"/>
  <c r="I32" i="18"/>
  <c r="B32" i="18"/>
  <c r="D32" i="18"/>
  <c r="F32" i="18"/>
  <c r="J32" i="18"/>
  <c r="H33" i="18"/>
  <c r="G32" i="18"/>
  <c r="I33" i="18"/>
  <c r="B33" i="18"/>
  <c r="D33" i="18"/>
  <c r="F33" i="18"/>
  <c r="J33" i="18"/>
  <c r="H34" i="18"/>
  <c r="G33" i="18"/>
  <c r="I34" i="18"/>
  <c r="B34" i="18"/>
  <c r="D34" i="18"/>
  <c r="F34" i="18"/>
  <c r="J34" i="18"/>
  <c r="H35" i="18"/>
  <c r="G34" i="18"/>
  <c r="I35" i="18"/>
  <c r="B35" i="18"/>
  <c r="D35" i="18"/>
  <c r="F35" i="18"/>
  <c r="J35" i="18"/>
  <c r="H36" i="18"/>
  <c r="G35" i="18"/>
  <c r="I36" i="18"/>
  <c r="B36" i="18"/>
  <c r="D36" i="18"/>
  <c r="F36" i="18"/>
  <c r="J36" i="18"/>
  <c r="H37" i="18"/>
  <c r="G36" i="18"/>
  <c r="I37" i="18"/>
  <c r="B37" i="18"/>
  <c r="D37" i="18"/>
  <c r="F37" i="18"/>
  <c r="J37" i="18"/>
  <c r="H38" i="18"/>
  <c r="G37" i="18"/>
  <c r="I38" i="18"/>
  <c r="B38" i="18"/>
  <c r="D38" i="18"/>
  <c r="F38" i="18"/>
  <c r="J38" i="18"/>
  <c r="H39" i="18"/>
  <c r="G38" i="18"/>
  <c r="I39" i="18"/>
  <c r="B39" i="18"/>
  <c r="D39" i="18"/>
  <c r="F39" i="18"/>
  <c r="J39" i="18"/>
  <c r="H40" i="18"/>
  <c r="G39" i="18"/>
  <c r="I40" i="18"/>
  <c r="B40" i="18"/>
  <c r="D40" i="18"/>
  <c r="F40" i="18"/>
  <c r="J40" i="18"/>
  <c r="H41" i="18"/>
  <c r="G40" i="18"/>
  <c r="I41" i="18"/>
  <c r="B41" i="18"/>
  <c r="D41" i="18"/>
  <c r="F41" i="18"/>
  <c r="J41" i="18"/>
  <c r="H42" i="18"/>
  <c r="G41" i="18"/>
  <c r="I42" i="18"/>
  <c r="B42" i="18"/>
  <c r="D42" i="18"/>
  <c r="F42" i="18"/>
  <c r="J42" i="18"/>
  <c r="H43" i="18"/>
  <c r="G42" i="18"/>
  <c r="I43" i="18"/>
  <c r="B43" i="18"/>
  <c r="D43" i="18"/>
  <c r="F43" i="18"/>
  <c r="J43" i="18"/>
  <c r="H44" i="18"/>
  <c r="G43" i="18"/>
  <c r="I44" i="18"/>
  <c r="B44" i="18"/>
  <c r="D44" i="18"/>
  <c r="F44" i="18"/>
  <c r="J44" i="18"/>
  <c r="H45" i="18"/>
  <c r="G44" i="18"/>
  <c r="I45" i="18"/>
  <c r="B45" i="18"/>
  <c r="D45" i="18"/>
  <c r="F45" i="18"/>
  <c r="J45" i="18"/>
  <c r="H46" i="18"/>
  <c r="G45" i="18"/>
  <c r="I46" i="18"/>
  <c r="B46" i="18"/>
  <c r="D46" i="18"/>
  <c r="F46" i="18"/>
  <c r="J46" i="18"/>
  <c r="H47" i="18"/>
  <c r="G46" i="18"/>
  <c r="I47" i="18"/>
  <c r="B47" i="18"/>
  <c r="D47" i="18"/>
  <c r="F47" i="18"/>
  <c r="J47" i="18"/>
  <c r="H48" i="18"/>
  <c r="G47" i="18"/>
  <c r="I48" i="18"/>
  <c r="B48" i="18"/>
  <c r="D48" i="18"/>
  <c r="F48" i="18"/>
  <c r="J48" i="18"/>
  <c r="H49" i="18"/>
  <c r="G48" i="18"/>
  <c r="I49" i="18"/>
  <c r="B49" i="18"/>
  <c r="D49" i="18"/>
  <c r="F49" i="18"/>
  <c r="J49" i="18"/>
  <c r="H50" i="18"/>
  <c r="G49" i="18"/>
  <c r="I50" i="18"/>
  <c r="B50" i="18"/>
  <c r="D50" i="18"/>
  <c r="F50" i="18"/>
  <c r="J50" i="18"/>
  <c r="H51" i="18"/>
  <c r="G50" i="18"/>
  <c r="I51" i="18"/>
  <c r="B51" i="18"/>
  <c r="D51" i="18"/>
  <c r="F51" i="18"/>
  <c r="J51" i="18"/>
  <c r="H52" i="18"/>
  <c r="G51" i="18"/>
  <c r="I52" i="18"/>
  <c r="B52" i="18"/>
  <c r="D52" i="18"/>
  <c r="F52" i="18"/>
  <c r="J52" i="18"/>
  <c r="H53" i="18"/>
  <c r="G52" i="18"/>
  <c r="I53" i="18"/>
  <c r="B53" i="18"/>
  <c r="D53" i="18"/>
  <c r="F53" i="18"/>
  <c r="J53" i="18"/>
  <c r="H54" i="18"/>
  <c r="G53" i="18"/>
  <c r="I54" i="18"/>
  <c r="B54" i="18"/>
  <c r="D54" i="18"/>
  <c r="F54" i="18"/>
  <c r="J54" i="18"/>
  <c r="H55" i="18"/>
  <c r="G54" i="18"/>
  <c r="I55" i="18"/>
  <c r="B55" i="18"/>
  <c r="D55" i="18"/>
  <c r="F55" i="18"/>
  <c r="J55" i="18"/>
  <c r="H56" i="18"/>
  <c r="G55" i="18"/>
  <c r="I56" i="18"/>
  <c r="B56" i="18"/>
  <c r="D56" i="18"/>
  <c r="F56" i="18"/>
  <c r="J56" i="18"/>
  <c r="H57" i="18"/>
  <c r="G56" i="18"/>
  <c r="I57" i="18"/>
  <c r="B57" i="18"/>
  <c r="D57" i="18"/>
  <c r="F57" i="18"/>
  <c r="J57" i="18"/>
  <c r="H58" i="18"/>
  <c r="G57" i="18"/>
  <c r="I58" i="18"/>
  <c r="B58" i="18"/>
  <c r="D58" i="18"/>
  <c r="F58" i="18"/>
  <c r="J58" i="18"/>
  <c r="H59" i="18"/>
  <c r="G58" i="18"/>
  <c r="I59" i="18"/>
  <c r="B59" i="18"/>
  <c r="D59" i="18"/>
  <c r="F59" i="18"/>
  <c r="J59" i="18"/>
  <c r="H60" i="18"/>
  <c r="G59" i="18"/>
  <c r="I60" i="18"/>
  <c r="B60" i="18"/>
  <c r="D60" i="18"/>
  <c r="F60" i="18"/>
  <c r="J60" i="18"/>
  <c r="H61" i="18"/>
  <c r="G60" i="18"/>
  <c r="I61" i="18"/>
  <c r="B61" i="18"/>
  <c r="D61" i="18"/>
  <c r="F61" i="18"/>
  <c r="J61" i="18"/>
  <c r="H62" i="18"/>
  <c r="G61" i="18"/>
  <c r="I62" i="18"/>
  <c r="B62" i="18"/>
  <c r="D62" i="18"/>
  <c r="F62" i="18"/>
  <c r="J62" i="18"/>
  <c r="H63" i="18"/>
  <c r="G62" i="18"/>
  <c r="I63" i="18"/>
  <c r="B63" i="18"/>
  <c r="D63" i="18"/>
  <c r="F63" i="18"/>
  <c r="J63" i="18"/>
  <c r="H64" i="18"/>
  <c r="G63" i="18"/>
  <c r="I64" i="18"/>
  <c r="B64" i="18"/>
  <c r="D64" i="18"/>
  <c r="F64" i="18"/>
  <c r="J64" i="18"/>
  <c r="H65" i="18"/>
  <c r="G64" i="18"/>
  <c r="I65" i="18"/>
  <c r="B65" i="18"/>
  <c r="D65" i="18"/>
  <c r="F65" i="18"/>
  <c r="J65" i="18"/>
  <c r="H66" i="18"/>
  <c r="G65" i="18"/>
  <c r="I66" i="18"/>
  <c r="B66" i="18"/>
  <c r="D66" i="18"/>
  <c r="F66" i="18"/>
  <c r="J66" i="18"/>
  <c r="H67" i="18"/>
  <c r="G66" i="18"/>
  <c r="I67" i="18"/>
  <c r="B67" i="18"/>
  <c r="D67" i="18"/>
  <c r="F67" i="18"/>
  <c r="J67" i="18"/>
  <c r="H68" i="18"/>
  <c r="G67" i="18"/>
  <c r="I68" i="18"/>
  <c r="B68" i="18"/>
  <c r="D68" i="18"/>
  <c r="F68" i="18"/>
  <c r="J68" i="18"/>
  <c r="H69" i="18"/>
  <c r="G68" i="18"/>
  <c r="I69" i="18"/>
  <c r="B69" i="18"/>
  <c r="D69" i="18"/>
  <c r="F69" i="18"/>
  <c r="J69" i="18"/>
  <c r="H70" i="18"/>
  <c r="G69" i="18"/>
  <c r="I70" i="18"/>
  <c r="B70" i="18"/>
  <c r="D70" i="18"/>
  <c r="F70" i="18"/>
  <c r="J70" i="18"/>
  <c r="H71" i="18"/>
  <c r="G70" i="18"/>
  <c r="I71" i="18"/>
  <c r="B71" i="18"/>
  <c r="D71" i="18"/>
  <c r="F71" i="18"/>
  <c r="J71" i="18"/>
  <c r="H72" i="18"/>
  <c r="G71" i="18"/>
  <c r="I72" i="18"/>
  <c r="B72" i="18"/>
  <c r="D72" i="18"/>
  <c r="F72" i="18"/>
  <c r="J72" i="18"/>
  <c r="H73" i="18"/>
  <c r="G72" i="18"/>
  <c r="I73" i="18"/>
  <c r="B73" i="18"/>
  <c r="D73" i="18"/>
  <c r="F73" i="18"/>
  <c r="J73" i="18"/>
  <c r="H74" i="18"/>
  <c r="G73" i="18"/>
  <c r="I74" i="18"/>
  <c r="B74" i="18"/>
  <c r="D74" i="18"/>
  <c r="F74" i="18"/>
  <c r="J74" i="18"/>
  <c r="H75" i="18"/>
  <c r="G74" i="18"/>
  <c r="I75" i="18"/>
  <c r="B75" i="18"/>
  <c r="D75" i="18"/>
  <c r="F75" i="18"/>
  <c r="J75" i="18"/>
  <c r="H76" i="18"/>
  <c r="G75" i="18"/>
  <c r="I76" i="18"/>
  <c r="B76" i="18"/>
  <c r="D76" i="18"/>
  <c r="F76" i="18"/>
  <c r="J76" i="18"/>
  <c r="H77" i="18"/>
  <c r="G76" i="18"/>
  <c r="I77" i="18"/>
  <c r="B77" i="18"/>
  <c r="D77" i="18"/>
  <c r="F77" i="18"/>
  <c r="J77" i="18"/>
  <c r="H78" i="18"/>
  <c r="G77" i="18"/>
  <c r="I78" i="18"/>
  <c r="B78" i="18"/>
  <c r="D78" i="18"/>
  <c r="F78" i="18"/>
  <c r="J78" i="18"/>
  <c r="H79" i="18"/>
  <c r="G78" i="18"/>
  <c r="I79" i="18"/>
  <c r="B79" i="18"/>
  <c r="D79" i="18"/>
  <c r="F79" i="18"/>
  <c r="J79" i="18"/>
  <c r="H80" i="18"/>
  <c r="G79" i="18"/>
  <c r="I80" i="18"/>
  <c r="B80" i="18"/>
  <c r="D80" i="18"/>
  <c r="F80" i="18"/>
  <c r="J80" i="18"/>
  <c r="H81" i="18"/>
  <c r="G80" i="18"/>
  <c r="I81" i="18"/>
  <c r="B81" i="18"/>
  <c r="D81" i="18"/>
  <c r="F81" i="18"/>
  <c r="J81" i="18"/>
  <c r="H82" i="18"/>
  <c r="G81" i="18"/>
  <c r="I82" i="18"/>
  <c r="B82" i="18"/>
  <c r="D82" i="18"/>
  <c r="F82" i="18"/>
  <c r="J82" i="18"/>
  <c r="H83" i="18"/>
  <c r="G82" i="18"/>
  <c r="I83" i="18"/>
  <c r="B83" i="18"/>
  <c r="D83" i="18"/>
  <c r="F83" i="18"/>
  <c r="J83" i="18"/>
  <c r="H84" i="18"/>
  <c r="G83" i="18"/>
  <c r="I84" i="18"/>
  <c r="B84" i="18"/>
  <c r="D84" i="18"/>
  <c r="F84" i="18"/>
  <c r="J84" i="18"/>
  <c r="H85" i="18"/>
  <c r="G84" i="18"/>
  <c r="I85" i="18"/>
  <c r="B85" i="18"/>
  <c r="D85" i="18"/>
  <c r="F85" i="18"/>
  <c r="J85" i="18"/>
  <c r="H86" i="18"/>
  <c r="G85" i="18"/>
  <c r="I86" i="18"/>
  <c r="B86" i="18"/>
  <c r="D86" i="18"/>
  <c r="F86" i="18"/>
  <c r="J86" i="18"/>
  <c r="H87" i="18"/>
  <c r="G86" i="18"/>
  <c r="I87" i="18"/>
  <c r="B87" i="18"/>
  <c r="D87" i="18"/>
  <c r="F87" i="18"/>
  <c r="J87" i="18"/>
  <c r="H88" i="18"/>
  <c r="G87" i="18"/>
  <c r="I88" i="18"/>
  <c r="B88" i="18"/>
  <c r="D88" i="18"/>
  <c r="F88" i="18"/>
  <c r="J88" i="18"/>
  <c r="H89" i="18"/>
  <c r="G88" i="18"/>
  <c r="I89" i="18"/>
  <c r="B89" i="18"/>
  <c r="D89" i="18"/>
  <c r="F89" i="18"/>
  <c r="J89" i="18"/>
  <c r="H90" i="18"/>
  <c r="G89" i="18"/>
  <c r="I90" i="18"/>
  <c r="B90" i="18"/>
  <c r="D90" i="18"/>
  <c r="F90" i="18"/>
  <c r="J90" i="18"/>
  <c r="H91" i="18"/>
  <c r="G90" i="18"/>
  <c r="I91" i="18"/>
  <c r="B91" i="18"/>
  <c r="D91" i="18"/>
  <c r="F91" i="18"/>
  <c r="J91" i="18"/>
  <c r="H92" i="18"/>
  <c r="G91" i="18"/>
  <c r="I92" i="18"/>
  <c r="B92" i="18"/>
  <c r="D92" i="18"/>
  <c r="F92" i="18"/>
  <c r="J92" i="18"/>
  <c r="H93" i="18"/>
  <c r="G92" i="18"/>
  <c r="I93" i="18"/>
  <c r="B93" i="18"/>
  <c r="D93" i="18"/>
  <c r="F93" i="18"/>
  <c r="J93" i="18"/>
  <c r="H94" i="18"/>
  <c r="G93" i="18"/>
  <c r="I94" i="18"/>
  <c r="B94" i="18"/>
  <c r="D94" i="18"/>
  <c r="F94" i="18"/>
  <c r="J94" i="18"/>
  <c r="H95" i="18"/>
  <c r="G94" i="18"/>
  <c r="I95" i="18"/>
  <c r="B95" i="18"/>
  <c r="D95" i="18"/>
  <c r="F95" i="18"/>
  <c r="J95" i="18"/>
  <c r="H96" i="18"/>
  <c r="G95" i="18"/>
  <c r="I96" i="18"/>
  <c r="B96" i="18"/>
  <c r="D96" i="18"/>
  <c r="F96" i="18"/>
  <c r="J96" i="18"/>
  <c r="H97" i="18"/>
  <c r="G96" i="18"/>
  <c r="I97" i="18"/>
  <c r="B97" i="18"/>
  <c r="D97" i="18"/>
  <c r="F97" i="18"/>
  <c r="J97" i="18"/>
  <c r="H98" i="18"/>
  <c r="G97" i="18"/>
  <c r="I98" i="18"/>
  <c r="B98" i="18"/>
  <c r="D98" i="18"/>
  <c r="F98" i="18"/>
  <c r="J98" i="18"/>
  <c r="H99" i="18"/>
  <c r="G98" i="18"/>
  <c r="I99" i="18"/>
  <c r="B99" i="18"/>
  <c r="D99" i="18"/>
  <c r="F99" i="18"/>
  <c r="J99" i="18"/>
  <c r="H100" i="18"/>
  <c r="G99" i="18"/>
  <c r="I100" i="18"/>
  <c r="B100" i="18"/>
  <c r="D100" i="18"/>
  <c r="F100" i="18"/>
  <c r="J100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A3" i="17"/>
  <c r="A4" i="17"/>
  <c r="A5" i="17"/>
  <c r="A6" i="17"/>
  <c r="A7" i="17"/>
  <c r="A8" i="17"/>
  <c r="A9" i="17"/>
  <c r="A10" i="17"/>
  <c r="A11" i="17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E7" i="17"/>
  <c r="E9" i="17"/>
  <c r="B3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E11" i="17"/>
  <c r="E8" i="17"/>
  <c r="B8" i="16"/>
  <c r="N6" i="16"/>
  <c r="N7" i="16"/>
  <c r="N8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E84" i="16"/>
  <c r="E85" i="16"/>
  <c r="E86" i="16"/>
  <c r="E87" i="16"/>
  <c r="E88" i="16"/>
  <c r="E89" i="16"/>
  <c r="E90" i="16"/>
  <c r="E91" i="16"/>
  <c r="E92" i="16"/>
  <c r="E93" i="16"/>
  <c r="E94" i="16"/>
  <c r="E95" i="16"/>
  <c r="E96" i="16"/>
  <c r="E97" i="16"/>
  <c r="E98" i="16"/>
  <c r="E99" i="16"/>
  <c r="E100" i="16"/>
  <c r="E101" i="16"/>
  <c r="E102" i="16"/>
  <c r="E103" i="16"/>
  <c r="E104" i="16"/>
  <c r="E105" i="16"/>
  <c r="E106" i="16"/>
  <c r="E107" i="16"/>
  <c r="E108" i="16"/>
  <c r="E109" i="16"/>
  <c r="E110" i="16"/>
  <c r="E111" i="16"/>
  <c r="E112" i="16"/>
  <c r="E113" i="16"/>
  <c r="E114" i="16"/>
  <c r="E115" i="16"/>
  <c r="E116" i="16"/>
  <c r="E117" i="16"/>
  <c r="E118" i="16"/>
  <c r="E119" i="16"/>
  <c r="E120" i="16"/>
  <c r="E121" i="16"/>
  <c r="E122" i="16"/>
  <c r="E123" i="16"/>
  <c r="E124" i="16"/>
  <c r="E125" i="16"/>
  <c r="E126" i="16"/>
  <c r="E127" i="16"/>
  <c r="E128" i="16"/>
  <c r="E129" i="16"/>
  <c r="E130" i="16"/>
  <c r="E131" i="16"/>
  <c r="E132" i="16"/>
  <c r="E133" i="16"/>
  <c r="E134" i="16"/>
  <c r="E135" i="16"/>
  <c r="E136" i="16"/>
  <c r="E137" i="16"/>
  <c r="E138" i="16"/>
  <c r="E139" i="16"/>
  <c r="E140" i="16"/>
  <c r="E141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F126" i="16"/>
  <c r="F127" i="16"/>
  <c r="F128" i="16"/>
  <c r="F129" i="16"/>
  <c r="F130" i="16"/>
  <c r="F131" i="16"/>
  <c r="F132" i="16"/>
  <c r="F133" i="16"/>
  <c r="F134" i="16"/>
  <c r="F135" i="16"/>
  <c r="F136" i="16"/>
  <c r="F137" i="16"/>
  <c r="F138" i="16"/>
  <c r="F139" i="16"/>
  <c r="F140" i="16"/>
  <c r="F141" i="16"/>
  <c r="G4" i="16"/>
  <c r="G2" i="16"/>
  <c r="K4" i="16"/>
  <c r="K2" i="16"/>
  <c r="G6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C15" i="3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3" i="15"/>
  <c r="Q34" i="15"/>
  <c r="Q35" i="15"/>
  <c r="Q36" i="15"/>
  <c r="Q37" i="15"/>
  <c r="Q38" i="15"/>
  <c r="Q39" i="15"/>
  <c r="Q40" i="15"/>
  <c r="Q41" i="15"/>
  <c r="Q42" i="15"/>
  <c r="Q43" i="15"/>
  <c r="Q44" i="15"/>
  <c r="Q45" i="15"/>
  <c r="Q46" i="15"/>
  <c r="Q47" i="15"/>
  <c r="Q48" i="15"/>
  <c r="Q49" i="15"/>
  <c r="Q50" i="15"/>
  <c r="Q51" i="15"/>
  <c r="Q52" i="15"/>
  <c r="Q53" i="15"/>
  <c r="Q54" i="15"/>
  <c r="Q55" i="15"/>
  <c r="Q56" i="15"/>
  <c r="Q57" i="15"/>
  <c r="Q58" i="15"/>
  <c r="Q59" i="15"/>
  <c r="Q60" i="15"/>
  <c r="Q61" i="15"/>
  <c r="Q62" i="15"/>
  <c r="Q63" i="15"/>
  <c r="Q64" i="15"/>
  <c r="Q65" i="15"/>
  <c r="Q66" i="15"/>
  <c r="Q67" i="15"/>
  <c r="Q68" i="15"/>
  <c r="Q69" i="15"/>
  <c r="Q70" i="15"/>
  <c r="Q71" i="15"/>
  <c r="Q72" i="15"/>
  <c r="Q73" i="15"/>
  <c r="Q74" i="15"/>
  <c r="Q75" i="15"/>
  <c r="Q76" i="15"/>
  <c r="Q77" i="15"/>
  <c r="Q78" i="15"/>
  <c r="Q79" i="15"/>
  <c r="Q80" i="15"/>
  <c r="Q81" i="15"/>
  <c r="Q82" i="15"/>
  <c r="Q83" i="15"/>
  <c r="Q84" i="15"/>
  <c r="Q85" i="15"/>
  <c r="Q86" i="15"/>
  <c r="Q87" i="15"/>
  <c r="Q88" i="15"/>
  <c r="Q89" i="15"/>
  <c r="Q90" i="15"/>
  <c r="Q91" i="15"/>
  <c r="Q92" i="15"/>
  <c r="Q93" i="15"/>
  <c r="Q94" i="15"/>
  <c r="Q95" i="15"/>
  <c r="Q96" i="15"/>
  <c r="Q97" i="15"/>
  <c r="Q98" i="15"/>
  <c r="Q99" i="15"/>
  <c r="Q100" i="15"/>
  <c r="Q101" i="15"/>
  <c r="Q102" i="15"/>
  <c r="Q103" i="15"/>
  <c r="Q104" i="15"/>
  <c r="Q105" i="15"/>
  <c r="Q106" i="15"/>
  <c r="Q107" i="15"/>
  <c r="Q108" i="15"/>
  <c r="Q109" i="15"/>
  <c r="Q110" i="15"/>
  <c r="Q111" i="15"/>
  <c r="Q112" i="15"/>
  <c r="Q113" i="15"/>
  <c r="Q114" i="15"/>
  <c r="Q115" i="15"/>
  <c r="Q16" i="15"/>
  <c r="D42" i="15"/>
  <c r="R16" i="15"/>
  <c r="S16" i="15"/>
  <c r="R17" i="15"/>
  <c r="S17" i="15"/>
  <c r="R18" i="15"/>
  <c r="S18" i="15"/>
  <c r="R19" i="15"/>
  <c r="S19" i="15"/>
  <c r="R20" i="15"/>
  <c r="S20" i="15"/>
  <c r="R21" i="15"/>
  <c r="S21" i="15"/>
  <c r="R22" i="15"/>
  <c r="S22" i="15"/>
  <c r="R23" i="15"/>
  <c r="S23" i="15"/>
  <c r="R24" i="15"/>
  <c r="S24" i="15"/>
  <c r="R25" i="15"/>
  <c r="S25" i="15"/>
  <c r="R26" i="15"/>
  <c r="S26" i="15"/>
  <c r="R27" i="15"/>
  <c r="S27" i="15"/>
  <c r="R28" i="15"/>
  <c r="S28" i="15"/>
  <c r="R29" i="15"/>
  <c r="S29" i="15"/>
  <c r="R30" i="15"/>
  <c r="S30" i="15"/>
  <c r="R31" i="15"/>
  <c r="S31" i="15"/>
  <c r="R32" i="15"/>
  <c r="S32" i="15"/>
  <c r="R33" i="15"/>
  <c r="S33" i="15"/>
  <c r="R34" i="15"/>
  <c r="S34" i="15"/>
  <c r="R35" i="15"/>
  <c r="S35" i="15"/>
  <c r="R36" i="15"/>
  <c r="S36" i="15"/>
  <c r="R37" i="15"/>
  <c r="S37" i="15"/>
  <c r="R38" i="15"/>
  <c r="S38" i="15"/>
  <c r="R39" i="15"/>
  <c r="S39" i="15"/>
  <c r="R40" i="15"/>
  <c r="S40" i="15"/>
  <c r="R41" i="15"/>
  <c r="S41" i="15"/>
  <c r="G42" i="15"/>
  <c r="R42" i="15"/>
  <c r="S42" i="15"/>
  <c r="N43" i="15"/>
  <c r="L43" i="15"/>
  <c r="E43" i="15"/>
  <c r="P43" i="15"/>
  <c r="F43" i="15"/>
  <c r="D43" i="15"/>
  <c r="G43" i="15"/>
  <c r="R43" i="15"/>
  <c r="S43" i="15"/>
  <c r="M44" i="15"/>
  <c r="N44" i="15"/>
  <c r="L44" i="15"/>
  <c r="E44" i="15"/>
  <c r="P44" i="15"/>
  <c r="F44" i="15"/>
  <c r="D44" i="15"/>
  <c r="G44" i="15"/>
  <c r="R44" i="15"/>
  <c r="S44" i="15"/>
  <c r="M45" i="15"/>
  <c r="N45" i="15"/>
  <c r="L45" i="15"/>
  <c r="E45" i="15"/>
  <c r="P45" i="15"/>
  <c r="F45" i="15"/>
  <c r="D45" i="15"/>
  <c r="G45" i="15"/>
  <c r="R45" i="15"/>
  <c r="S45" i="15"/>
  <c r="M46" i="15"/>
  <c r="N46" i="15"/>
  <c r="L46" i="15"/>
  <c r="E46" i="15"/>
  <c r="P46" i="15"/>
  <c r="F46" i="15"/>
  <c r="D46" i="15"/>
  <c r="G46" i="15"/>
  <c r="R46" i="15"/>
  <c r="S46" i="15"/>
  <c r="M47" i="15"/>
  <c r="N47" i="15"/>
  <c r="L47" i="15"/>
  <c r="E47" i="15"/>
  <c r="P47" i="15"/>
  <c r="F47" i="15"/>
  <c r="D47" i="15"/>
  <c r="G47" i="15"/>
  <c r="R47" i="15"/>
  <c r="S47" i="15"/>
  <c r="M48" i="15"/>
  <c r="N48" i="15"/>
  <c r="L48" i="15"/>
  <c r="E48" i="15"/>
  <c r="P48" i="15"/>
  <c r="F48" i="15"/>
  <c r="D48" i="15"/>
  <c r="G48" i="15"/>
  <c r="R48" i="15"/>
  <c r="S48" i="15"/>
  <c r="M49" i="15"/>
  <c r="N49" i="15"/>
  <c r="L49" i="15"/>
  <c r="E49" i="15"/>
  <c r="P49" i="15"/>
  <c r="F49" i="15"/>
  <c r="D49" i="15"/>
  <c r="G49" i="15"/>
  <c r="R49" i="15"/>
  <c r="S49" i="15"/>
  <c r="M50" i="15"/>
  <c r="N50" i="15"/>
  <c r="L50" i="15"/>
  <c r="E50" i="15"/>
  <c r="P50" i="15"/>
  <c r="F50" i="15"/>
  <c r="D50" i="15"/>
  <c r="G50" i="15"/>
  <c r="R50" i="15"/>
  <c r="S50" i="15"/>
  <c r="M51" i="15"/>
  <c r="N51" i="15"/>
  <c r="L51" i="15"/>
  <c r="E51" i="15"/>
  <c r="P51" i="15"/>
  <c r="F51" i="15"/>
  <c r="D51" i="15"/>
  <c r="G51" i="15"/>
  <c r="R51" i="15"/>
  <c r="S51" i="15"/>
  <c r="M52" i="15"/>
  <c r="N52" i="15"/>
  <c r="L52" i="15"/>
  <c r="E52" i="15"/>
  <c r="P52" i="15"/>
  <c r="F52" i="15"/>
  <c r="D52" i="15"/>
  <c r="G52" i="15"/>
  <c r="R52" i="15"/>
  <c r="S52" i="15"/>
  <c r="M53" i="15"/>
  <c r="N53" i="15"/>
  <c r="L53" i="15"/>
  <c r="E53" i="15"/>
  <c r="P53" i="15"/>
  <c r="F53" i="15"/>
  <c r="D53" i="15"/>
  <c r="G53" i="15"/>
  <c r="R53" i="15"/>
  <c r="S53" i="15"/>
  <c r="M54" i="15"/>
  <c r="N54" i="15"/>
  <c r="L54" i="15"/>
  <c r="E54" i="15"/>
  <c r="P54" i="15"/>
  <c r="F54" i="15"/>
  <c r="D54" i="15"/>
  <c r="G54" i="15"/>
  <c r="R54" i="15"/>
  <c r="S54" i="15"/>
  <c r="M55" i="15"/>
  <c r="N55" i="15"/>
  <c r="L55" i="15"/>
  <c r="E55" i="15"/>
  <c r="P55" i="15"/>
  <c r="F55" i="15"/>
  <c r="D55" i="15"/>
  <c r="G55" i="15"/>
  <c r="R55" i="15"/>
  <c r="S55" i="15"/>
  <c r="M56" i="15"/>
  <c r="N56" i="15"/>
  <c r="L56" i="15"/>
  <c r="E56" i="15"/>
  <c r="P56" i="15"/>
  <c r="F56" i="15"/>
  <c r="D56" i="15"/>
  <c r="G56" i="15"/>
  <c r="R56" i="15"/>
  <c r="S56" i="15"/>
  <c r="M57" i="15"/>
  <c r="N57" i="15"/>
  <c r="L57" i="15"/>
  <c r="E57" i="15"/>
  <c r="P57" i="15"/>
  <c r="F57" i="15"/>
  <c r="D57" i="15"/>
  <c r="G57" i="15"/>
  <c r="R57" i="15"/>
  <c r="S57" i="15"/>
  <c r="M58" i="15"/>
  <c r="N58" i="15"/>
  <c r="L58" i="15"/>
  <c r="E58" i="15"/>
  <c r="P58" i="15"/>
  <c r="F58" i="15"/>
  <c r="D58" i="15"/>
  <c r="G58" i="15"/>
  <c r="R58" i="15"/>
  <c r="S58" i="15"/>
  <c r="M59" i="15"/>
  <c r="N59" i="15"/>
  <c r="L59" i="15"/>
  <c r="E59" i="15"/>
  <c r="P59" i="15"/>
  <c r="F59" i="15"/>
  <c r="D59" i="15"/>
  <c r="G59" i="15"/>
  <c r="R59" i="15"/>
  <c r="S59" i="15"/>
  <c r="M60" i="15"/>
  <c r="N60" i="15"/>
  <c r="L60" i="15"/>
  <c r="E60" i="15"/>
  <c r="P60" i="15"/>
  <c r="F60" i="15"/>
  <c r="D60" i="15"/>
  <c r="G60" i="15"/>
  <c r="R60" i="15"/>
  <c r="S60" i="15"/>
  <c r="M61" i="15"/>
  <c r="N61" i="15"/>
  <c r="L61" i="15"/>
  <c r="E61" i="15"/>
  <c r="P61" i="15"/>
  <c r="F61" i="15"/>
  <c r="D61" i="15"/>
  <c r="G61" i="15"/>
  <c r="R61" i="15"/>
  <c r="S61" i="15"/>
  <c r="M62" i="15"/>
  <c r="N62" i="15"/>
  <c r="L62" i="15"/>
  <c r="E62" i="15"/>
  <c r="P62" i="15"/>
  <c r="F62" i="15"/>
  <c r="D62" i="15"/>
  <c r="G62" i="15"/>
  <c r="R62" i="15"/>
  <c r="S62" i="15"/>
  <c r="M63" i="15"/>
  <c r="N63" i="15"/>
  <c r="L63" i="15"/>
  <c r="E63" i="15"/>
  <c r="P63" i="15"/>
  <c r="F63" i="15"/>
  <c r="D63" i="15"/>
  <c r="G63" i="15"/>
  <c r="R63" i="15"/>
  <c r="S63" i="15"/>
  <c r="M64" i="15"/>
  <c r="N64" i="15"/>
  <c r="L64" i="15"/>
  <c r="E64" i="15"/>
  <c r="P64" i="15"/>
  <c r="F64" i="15"/>
  <c r="D64" i="15"/>
  <c r="G64" i="15"/>
  <c r="R64" i="15"/>
  <c r="S64" i="15"/>
  <c r="M65" i="15"/>
  <c r="N65" i="15"/>
  <c r="L65" i="15"/>
  <c r="E65" i="15"/>
  <c r="P65" i="15"/>
  <c r="F65" i="15"/>
  <c r="D65" i="15"/>
  <c r="G65" i="15"/>
  <c r="R65" i="15"/>
  <c r="S65" i="15"/>
  <c r="M66" i="15"/>
  <c r="N66" i="15"/>
  <c r="L66" i="15"/>
  <c r="E66" i="15"/>
  <c r="P66" i="15"/>
  <c r="F66" i="15"/>
  <c r="D66" i="15"/>
  <c r="G66" i="15"/>
  <c r="R66" i="15"/>
  <c r="S66" i="15"/>
  <c r="M67" i="15"/>
  <c r="N67" i="15"/>
  <c r="L67" i="15"/>
  <c r="E67" i="15"/>
  <c r="P67" i="15"/>
  <c r="F67" i="15"/>
  <c r="D67" i="15"/>
  <c r="G67" i="15"/>
  <c r="R67" i="15"/>
  <c r="S67" i="15"/>
  <c r="M68" i="15"/>
  <c r="N68" i="15"/>
  <c r="L68" i="15"/>
  <c r="E68" i="15"/>
  <c r="P68" i="15"/>
  <c r="F68" i="15"/>
  <c r="D68" i="15"/>
  <c r="G68" i="15"/>
  <c r="R68" i="15"/>
  <c r="S68" i="15"/>
  <c r="M69" i="15"/>
  <c r="N69" i="15"/>
  <c r="L69" i="15"/>
  <c r="E69" i="15"/>
  <c r="P69" i="15"/>
  <c r="F69" i="15"/>
  <c r="D69" i="15"/>
  <c r="G69" i="15"/>
  <c r="R69" i="15"/>
  <c r="S69" i="15"/>
  <c r="M70" i="15"/>
  <c r="N70" i="15"/>
  <c r="L70" i="15"/>
  <c r="E70" i="15"/>
  <c r="P70" i="15"/>
  <c r="F70" i="15"/>
  <c r="D70" i="15"/>
  <c r="G70" i="15"/>
  <c r="R70" i="15"/>
  <c r="S70" i="15"/>
  <c r="M71" i="15"/>
  <c r="N71" i="15"/>
  <c r="L71" i="15"/>
  <c r="E71" i="15"/>
  <c r="P71" i="15"/>
  <c r="F71" i="15"/>
  <c r="D71" i="15"/>
  <c r="G71" i="15"/>
  <c r="R71" i="15"/>
  <c r="S71" i="15"/>
  <c r="M72" i="15"/>
  <c r="N72" i="15"/>
  <c r="L72" i="15"/>
  <c r="E72" i="15"/>
  <c r="P72" i="15"/>
  <c r="F72" i="15"/>
  <c r="D72" i="15"/>
  <c r="G72" i="15"/>
  <c r="R72" i="15"/>
  <c r="S72" i="15"/>
  <c r="M73" i="15"/>
  <c r="N73" i="15"/>
  <c r="L73" i="15"/>
  <c r="E73" i="15"/>
  <c r="P73" i="15"/>
  <c r="F73" i="15"/>
  <c r="D73" i="15"/>
  <c r="G73" i="15"/>
  <c r="R73" i="15"/>
  <c r="S73" i="15"/>
  <c r="M74" i="15"/>
  <c r="N74" i="15"/>
  <c r="L74" i="15"/>
  <c r="E74" i="15"/>
  <c r="P74" i="15"/>
  <c r="F74" i="15"/>
  <c r="D74" i="15"/>
  <c r="G74" i="15"/>
  <c r="R74" i="15"/>
  <c r="S74" i="15"/>
  <c r="M75" i="15"/>
  <c r="N75" i="15"/>
  <c r="L75" i="15"/>
  <c r="E75" i="15"/>
  <c r="P75" i="15"/>
  <c r="F75" i="15"/>
  <c r="D75" i="15"/>
  <c r="G75" i="15"/>
  <c r="R75" i="15"/>
  <c r="S75" i="15"/>
  <c r="M76" i="15"/>
  <c r="N76" i="15"/>
  <c r="L76" i="15"/>
  <c r="E76" i="15"/>
  <c r="P76" i="15"/>
  <c r="F76" i="15"/>
  <c r="D76" i="15"/>
  <c r="G76" i="15"/>
  <c r="R76" i="15"/>
  <c r="S76" i="15"/>
  <c r="M77" i="15"/>
  <c r="N77" i="15"/>
  <c r="L77" i="15"/>
  <c r="E77" i="15"/>
  <c r="P77" i="15"/>
  <c r="F77" i="15"/>
  <c r="D77" i="15"/>
  <c r="G77" i="15"/>
  <c r="R77" i="15"/>
  <c r="S77" i="15"/>
  <c r="M78" i="15"/>
  <c r="N78" i="15"/>
  <c r="L78" i="15"/>
  <c r="E78" i="15"/>
  <c r="P78" i="15"/>
  <c r="F78" i="15"/>
  <c r="D78" i="15"/>
  <c r="G78" i="15"/>
  <c r="R78" i="15"/>
  <c r="S78" i="15"/>
  <c r="M79" i="15"/>
  <c r="N79" i="15"/>
  <c r="L79" i="15"/>
  <c r="E79" i="15"/>
  <c r="P79" i="15"/>
  <c r="F79" i="15"/>
  <c r="D79" i="15"/>
  <c r="G79" i="15"/>
  <c r="R79" i="15"/>
  <c r="S79" i="15"/>
  <c r="M80" i="15"/>
  <c r="N80" i="15"/>
  <c r="L80" i="15"/>
  <c r="E80" i="15"/>
  <c r="P80" i="15"/>
  <c r="F80" i="15"/>
  <c r="D80" i="15"/>
  <c r="G80" i="15"/>
  <c r="R80" i="15"/>
  <c r="S80" i="15"/>
  <c r="M81" i="15"/>
  <c r="N81" i="15"/>
  <c r="L81" i="15"/>
  <c r="E81" i="15"/>
  <c r="P81" i="15"/>
  <c r="F81" i="15"/>
  <c r="D81" i="15"/>
  <c r="G81" i="15"/>
  <c r="R81" i="15"/>
  <c r="S81" i="15"/>
  <c r="M82" i="15"/>
  <c r="N82" i="15"/>
  <c r="L82" i="15"/>
  <c r="E82" i="15"/>
  <c r="P82" i="15"/>
  <c r="F82" i="15"/>
  <c r="D82" i="15"/>
  <c r="G82" i="15"/>
  <c r="R82" i="15"/>
  <c r="S82" i="15"/>
  <c r="M83" i="15"/>
  <c r="N83" i="15"/>
  <c r="L83" i="15"/>
  <c r="E83" i="15"/>
  <c r="P83" i="15"/>
  <c r="F83" i="15"/>
  <c r="D83" i="15"/>
  <c r="G83" i="15"/>
  <c r="R83" i="15"/>
  <c r="S83" i="15"/>
  <c r="M84" i="15"/>
  <c r="N84" i="15"/>
  <c r="L84" i="15"/>
  <c r="E84" i="15"/>
  <c r="P84" i="15"/>
  <c r="F84" i="15"/>
  <c r="D84" i="15"/>
  <c r="G84" i="15"/>
  <c r="R84" i="15"/>
  <c r="S84" i="15"/>
  <c r="M85" i="15"/>
  <c r="N85" i="15"/>
  <c r="L85" i="15"/>
  <c r="E85" i="15"/>
  <c r="P85" i="15"/>
  <c r="F85" i="15"/>
  <c r="D85" i="15"/>
  <c r="G85" i="15"/>
  <c r="R85" i="15"/>
  <c r="S85" i="15"/>
  <c r="M86" i="15"/>
  <c r="N86" i="15"/>
  <c r="L86" i="15"/>
  <c r="E86" i="15"/>
  <c r="P86" i="15"/>
  <c r="F86" i="15"/>
  <c r="D86" i="15"/>
  <c r="G86" i="15"/>
  <c r="R86" i="15"/>
  <c r="S86" i="15"/>
  <c r="M87" i="15"/>
  <c r="N87" i="15"/>
  <c r="L87" i="15"/>
  <c r="E87" i="15"/>
  <c r="P87" i="15"/>
  <c r="F87" i="15"/>
  <c r="D87" i="15"/>
  <c r="G87" i="15"/>
  <c r="R87" i="15"/>
  <c r="S87" i="15"/>
  <c r="M88" i="15"/>
  <c r="N88" i="15"/>
  <c r="L88" i="15"/>
  <c r="E88" i="15"/>
  <c r="P88" i="15"/>
  <c r="F88" i="15"/>
  <c r="D88" i="15"/>
  <c r="G88" i="15"/>
  <c r="R88" i="15"/>
  <c r="S88" i="15"/>
  <c r="M89" i="15"/>
  <c r="N89" i="15"/>
  <c r="L89" i="15"/>
  <c r="E89" i="15"/>
  <c r="P89" i="15"/>
  <c r="F89" i="15"/>
  <c r="D89" i="15"/>
  <c r="G89" i="15"/>
  <c r="R89" i="15"/>
  <c r="S89" i="15"/>
  <c r="M90" i="15"/>
  <c r="N90" i="15"/>
  <c r="L90" i="15"/>
  <c r="E90" i="15"/>
  <c r="P90" i="15"/>
  <c r="F90" i="15"/>
  <c r="D90" i="15"/>
  <c r="G90" i="15"/>
  <c r="R90" i="15"/>
  <c r="S90" i="15"/>
  <c r="M91" i="15"/>
  <c r="N91" i="15"/>
  <c r="L91" i="15"/>
  <c r="E91" i="15"/>
  <c r="P91" i="15"/>
  <c r="F91" i="15"/>
  <c r="D91" i="15"/>
  <c r="G91" i="15"/>
  <c r="R91" i="15"/>
  <c r="S91" i="15"/>
  <c r="M92" i="15"/>
  <c r="N92" i="15"/>
  <c r="L92" i="15"/>
  <c r="E92" i="15"/>
  <c r="P92" i="15"/>
  <c r="F92" i="15"/>
  <c r="D92" i="15"/>
  <c r="G92" i="15"/>
  <c r="R92" i="15"/>
  <c r="S92" i="15"/>
  <c r="M93" i="15"/>
  <c r="N93" i="15"/>
  <c r="L93" i="15"/>
  <c r="E93" i="15"/>
  <c r="P93" i="15"/>
  <c r="F93" i="15"/>
  <c r="D93" i="15"/>
  <c r="G93" i="15"/>
  <c r="R93" i="15"/>
  <c r="S93" i="15"/>
  <c r="M94" i="15"/>
  <c r="N94" i="15"/>
  <c r="L94" i="15"/>
  <c r="E94" i="15"/>
  <c r="P94" i="15"/>
  <c r="F94" i="15"/>
  <c r="D94" i="15"/>
  <c r="G94" i="15"/>
  <c r="R94" i="15"/>
  <c r="S94" i="15"/>
  <c r="M95" i="15"/>
  <c r="N95" i="15"/>
  <c r="L95" i="15"/>
  <c r="E95" i="15"/>
  <c r="P95" i="15"/>
  <c r="F95" i="15"/>
  <c r="D95" i="15"/>
  <c r="G95" i="15"/>
  <c r="R95" i="15"/>
  <c r="S95" i="15"/>
  <c r="M96" i="15"/>
  <c r="N96" i="15"/>
  <c r="L96" i="15"/>
  <c r="E96" i="15"/>
  <c r="P96" i="15"/>
  <c r="F96" i="15"/>
  <c r="G96" i="15"/>
  <c r="R96" i="15"/>
  <c r="S96" i="15"/>
  <c r="M97" i="15"/>
  <c r="N97" i="15"/>
  <c r="L97" i="15"/>
  <c r="E97" i="15"/>
  <c r="P97" i="15"/>
  <c r="F97" i="15"/>
  <c r="G97" i="15"/>
  <c r="R97" i="15"/>
  <c r="S97" i="15"/>
  <c r="M98" i="15"/>
  <c r="N98" i="15"/>
  <c r="L98" i="15"/>
  <c r="E98" i="15"/>
  <c r="P98" i="15"/>
  <c r="F98" i="15"/>
  <c r="G98" i="15"/>
  <c r="R98" i="15"/>
  <c r="S98" i="15"/>
  <c r="M99" i="15"/>
  <c r="N99" i="15"/>
  <c r="L99" i="15"/>
  <c r="E99" i="15"/>
  <c r="P99" i="15"/>
  <c r="F99" i="15"/>
  <c r="G99" i="15"/>
  <c r="R99" i="15"/>
  <c r="S99" i="15"/>
  <c r="M100" i="15"/>
  <c r="N100" i="15"/>
  <c r="L100" i="15"/>
  <c r="E100" i="15"/>
  <c r="P100" i="15"/>
  <c r="F100" i="15"/>
  <c r="G100" i="15"/>
  <c r="R100" i="15"/>
  <c r="S100" i="15"/>
  <c r="M101" i="15"/>
  <c r="N101" i="15"/>
  <c r="L101" i="15"/>
  <c r="E101" i="15"/>
  <c r="P101" i="15"/>
  <c r="F101" i="15"/>
  <c r="G101" i="15"/>
  <c r="R101" i="15"/>
  <c r="S101" i="15"/>
  <c r="M102" i="15"/>
  <c r="N102" i="15"/>
  <c r="L102" i="15"/>
  <c r="E102" i="15"/>
  <c r="P102" i="15"/>
  <c r="F102" i="15"/>
  <c r="G102" i="15"/>
  <c r="R102" i="15"/>
  <c r="S102" i="15"/>
  <c r="M103" i="15"/>
  <c r="N103" i="15"/>
  <c r="L103" i="15"/>
  <c r="E103" i="15"/>
  <c r="P103" i="15"/>
  <c r="F103" i="15"/>
  <c r="G103" i="15"/>
  <c r="R103" i="15"/>
  <c r="S103" i="15"/>
  <c r="M104" i="15"/>
  <c r="N104" i="15"/>
  <c r="L104" i="15"/>
  <c r="E104" i="15"/>
  <c r="P104" i="15"/>
  <c r="F104" i="15"/>
  <c r="G104" i="15"/>
  <c r="R104" i="15"/>
  <c r="S104" i="15"/>
  <c r="M105" i="15"/>
  <c r="N105" i="15"/>
  <c r="L105" i="15"/>
  <c r="E105" i="15"/>
  <c r="P105" i="15"/>
  <c r="F105" i="15"/>
  <c r="G105" i="15"/>
  <c r="R105" i="15"/>
  <c r="S105" i="15"/>
  <c r="M106" i="15"/>
  <c r="N106" i="15"/>
  <c r="L106" i="15"/>
  <c r="E106" i="15"/>
  <c r="P106" i="15"/>
  <c r="F106" i="15"/>
  <c r="G106" i="15"/>
  <c r="R106" i="15"/>
  <c r="S106" i="15"/>
  <c r="M107" i="15"/>
  <c r="N107" i="15"/>
  <c r="L107" i="15"/>
  <c r="E107" i="15"/>
  <c r="P107" i="15"/>
  <c r="F107" i="15"/>
  <c r="G107" i="15"/>
  <c r="R107" i="15"/>
  <c r="S107" i="15"/>
  <c r="M108" i="15"/>
  <c r="N108" i="15"/>
  <c r="L108" i="15"/>
  <c r="E108" i="15"/>
  <c r="P108" i="15"/>
  <c r="F108" i="15"/>
  <c r="G108" i="15"/>
  <c r="R108" i="15"/>
  <c r="S108" i="15"/>
  <c r="M109" i="15"/>
  <c r="N109" i="15"/>
  <c r="L109" i="15"/>
  <c r="E109" i="15"/>
  <c r="P109" i="15"/>
  <c r="F109" i="15"/>
  <c r="G109" i="15"/>
  <c r="R109" i="15"/>
  <c r="S109" i="15"/>
  <c r="M110" i="15"/>
  <c r="N110" i="15"/>
  <c r="L110" i="15"/>
  <c r="E110" i="15"/>
  <c r="P110" i="15"/>
  <c r="F110" i="15"/>
  <c r="G110" i="15"/>
  <c r="R110" i="15"/>
  <c r="S110" i="15"/>
  <c r="M111" i="15"/>
  <c r="N111" i="15"/>
  <c r="L111" i="15"/>
  <c r="E111" i="15"/>
  <c r="P111" i="15"/>
  <c r="F111" i="15"/>
  <c r="G111" i="15"/>
  <c r="R111" i="15"/>
  <c r="S111" i="15"/>
  <c r="M112" i="15"/>
  <c r="N112" i="15"/>
  <c r="L112" i="15"/>
  <c r="E112" i="15"/>
  <c r="P112" i="15"/>
  <c r="F112" i="15"/>
  <c r="G112" i="15"/>
  <c r="R112" i="15"/>
  <c r="S112" i="15"/>
  <c r="M113" i="15"/>
  <c r="N113" i="15"/>
  <c r="L113" i="15"/>
  <c r="E113" i="15"/>
  <c r="P113" i="15"/>
  <c r="F113" i="15"/>
  <c r="G113" i="15"/>
  <c r="R113" i="15"/>
  <c r="S113" i="15"/>
  <c r="M114" i="15"/>
  <c r="N114" i="15"/>
  <c r="L114" i="15"/>
  <c r="E114" i="15"/>
  <c r="P114" i="15"/>
  <c r="F114" i="15"/>
  <c r="G114" i="15"/>
  <c r="R114" i="15"/>
  <c r="S114" i="15"/>
  <c r="M115" i="15"/>
  <c r="N115" i="15"/>
  <c r="L115" i="15"/>
  <c r="E115" i="15"/>
  <c r="P115" i="15"/>
  <c r="F115" i="15"/>
  <c r="G115" i="15"/>
  <c r="R115" i="15"/>
  <c r="S115" i="15"/>
  <c r="Z9" i="15"/>
  <c r="Z8" i="15"/>
  <c r="X5" i="15"/>
  <c r="X7" i="15"/>
  <c r="M16" i="15"/>
  <c r="N16" i="15"/>
  <c r="L16" i="15"/>
  <c r="E16" i="15"/>
  <c r="P16" i="15"/>
  <c r="F16" i="15"/>
  <c r="G16" i="15"/>
  <c r="M17" i="15"/>
  <c r="N17" i="15"/>
  <c r="L17" i="15"/>
  <c r="E17" i="15"/>
  <c r="P17" i="15"/>
  <c r="F17" i="15"/>
  <c r="G17" i="15"/>
  <c r="M18" i="15"/>
  <c r="N18" i="15"/>
  <c r="L18" i="15"/>
  <c r="E18" i="15"/>
  <c r="P18" i="15"/>
  <c r="F18" i="15"/>
  <c r="G18" i="15"/>
  <c r="M19" i="15"/>
  <c r="N19" i="15"/>
  <c r="L19" i="15"/>
  <c r="E19" i="15"/>
  <c r="P19" i="15"/>
  <c r="F19" i="15"/>
  <c r="G19" i="15"/>
  <c r="M20" i="15"/>
  <c r="N20" i="15"/>
  <c r="L20" i="15"/>
  <c r="E20" i="15"/>
  <c r="P20" i="15"/>
  <c r="F20" i="15"/>
  <c r="G20" i="15"/>
  <c r="M21" i="15"/>
  <c r="N21" i="15"/>
  <c r="L21" i="15"/>
  <c r="E21" i="15"/>
  <c r="P21" i="15"/>
  <c r="F21" i="15"/>
  <c r="G21" i="15"/>
  <c r="M22" i="15"/>
  <c r="N22" i="15"/>
  <c r="L22" i="15"/>
  <c r="E22" i="15"/>
  <c r="P22" i="15"/>
  <c r="F22" i="15"/>
  <c r="G22" i="15"/>
  <c r="M23" i="15"/>
  <c r="N23" i="15"/>
  <c r="L23" i="15"/>
  <c r="E23" i="15"/>
  <c r="P23" i="15"/>
  <c r="F23" i="15"/>
  <c r="G23" i="15"/>
  <c r="M24" i="15"/>
  <c r="N24" i="15"/>
  <c r="L24" i="15"/>
  <c r="E24" i="15"/>
  <c r="P24" i="15"/>
  <c r="F24" i="15"/>
  <c r="G24" i="15"/>
  <c r="M25" i="15"/>
  <c r="N25" i="15"/>
  <c r="L25" i="15"/>
  <c r="E25" i="15"/>
  <c r="P25" i="15"/>
  <c r="F25" i="15"/>
  <c r="G25" i="15"/>
  <c r="M26" i="15"/>
  <c r="N26" i="15"/>
  <c r="L26" i="15"/>
  <c r="E26" i="15"/>
  <c r="P26" i="15"/>
  <c r="F26" i="15"/>
  <c r="G26" i="15"/>
  <c r="M27" i="15"/>
  <c r="N27" i="15"/>
  <c r="L27" i="15"/>
  <c r="E27" i="15"/>
  <c r="P27" i="15"/>
  <c r="F27" i="15"/>
  <c r="G27" i="15"/>
  <c r="M28" i="15"/>
  <c r="N28" i="15"/>
  <c r="L28" i="15"/>
  <c r="E28" i="15"/>
  <c r="P28" i="15"/>
  <c r="F28" i="15"/>
  <c r="G28" i="15"/>
  <c r="M29" i="15"/>
  <c r="N29" i="15"/>
  <c r="L29" i="15"/>
  <c r="E29" i="15"/>
  <c r="P29" i="15"/>
  <c r="F29" i="15"/>
  <c r="G29" i="15"/>
  <c r="M30" i="15"/>
  <c r="N30" i="15"/>
  <c r="L30" i="15"/>
  <c r="E30" i="15"/>
  <c r="P30" i="15"/>
  <c r="F30" i="15"/>
  <c r="G30" i="15"/>
  <c r="M31" i="15"/>
  <c r="N31" i="15"/>
  <c r="L31" i="15"/>
  <c r="E31" i="15"/>
  <c r="P31" i="15"/>
  <c r="F31" i="15"/>
  <c r="G31" i="15"/>
  <c r="M32" i="15"/>
  <c r="N32" i="15"/>
  <c r="L32" i="15"/>
  <c r="E32" i="15"/>
  <c r="P32" i="15"/>
  <c r="F32" i="15"/>
  <c r="G32" i="15"/>
  <c r="M33" i="15"/>
  <c r="N33" i="15"/>
  <c r="L33" i="15"/>
  <c r="E33" i="15"/>
  <c r="P33" i="15"/>
  <c r="F33" i="15"/>
  <c r="G33" i="15"/>
  <c r="M34" i="15"/>
  <c r="N34" i="15"/>
  <c r="L34" i="15"/>
  <c r="E34" i="15"/>
  <c r="P34" i="15"/>
  <c r="F34" i="15"/>
  <c r="G34" i="15"/>
  <c r="M35" i="15"/>
  <c r="N35" i="15"/>
  <c r="L35" i="15"/>
  <c r="E35" i="15"/>
  <c r="P35" i="15"/>
  <c r="F35" i="15"/>
  <c r="G35" i="15"/>
  <c r="M36" i="15"/>
  <c r="N36" i="15"/>
  <c r="L36" i="15"/>
  <c r="E36" i="15"/>
  <c r="P36" i="15"/>
  <c r="F36" i="15"/>
  <c r="G36" i="15"/>
  <c r="M37" i="15"/>
  <c r="N37" i="15"/>
  <c r="L37" i="15"/>
  <c r="E37" i="15"/>
  <c r="P37" i="15"/>
  <c r="F37" i="15"/>
  <c r="G37" i="15"/>
  <c r="M38" i="15"/>
  <c r="N38" i="15"/>
  <c r="L38" i="15"/>
  <c r="E38" i="15"/>
  <c r="P38" i="15"/>
  <c r="F38" i="15"/>
  <c r="G38" i="15"/>
  <c r="M39" i="15"/>
  <c r="N39" i="15"/>
  <c r="L39" i="15"/>
  <c r="E39" i="15"/>
  <c r="P39" i="15"/>
  <c r="F39" i="15"/>
  <c r="G39" i="15"/>
  <c r="M40" i="15"/>
  <c r="N40" i="15"/>
  <c r="L40" i="15"/>
  <c r="E40" i="15"/>
  <c r="P40" i="15"/>
  <c r="F40" i="15"/>
  <c r="G40" i="15"/>
  <c r="M41" i="15"/>
  <c r="N41" i="15"/>
  <c r="L41" i="15"/>
  <c r="E41" i="15"/>
  <c r="P41" i="15"/>
  <c r="F41" i="15"/>
  <c r="G41" i="15"/>
  <c r="M42" i="15"/>
  <c r="N42" i="15"/>
  <c r="L42" i="15"/>
  <c r="E42" i="15"/>
  <c r="P42" i="15"/>
  <c r="F42" i="15"/>
  <c r="M43" i="15"/>
  <c r="X6" i="15"/>
  <c r="X4" i="15"/>
  <c r="Q15" i="15"/>
  <c r="P15" i="15"/>
  <c r="Q14" i="15"/>
  <c r="P14" i="15"/>
  <c r="M3" i="15"/>
  <c r="M5" i="15"/>
  <c r="I6" i="15"/>
  <c r="Q6" i="15"/>
  <c r="M2" i="15"/>
  <c r="I8" i="15"/>
  <c r="Q8" i="15"/>
  <c r="M4" i="15"/>
  <c r="I5" i="15"/>
  <c r="Q5" i="15"/>
  <c r="M1" i="15"/>
  <c r="I4" i="15"/>
  <c r="Q4" i="15"/>
  <c r="R10" i="15"/>
  <c r="M12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M6" i="15"/>
  <c r="H115" i="15"/>
  <c r="K115" i="15"/>
  <c r="J115" i="15"/>
  <c r="I115" i="15"/>
  <c r="H114" i="15"/>
  <c r="K114" i="15"/>
  <c r="J114" i="15"/>
  <c r="I114" i="15"/>
  <c r="H113" i="15"/>
  <c r="K113" i="15"/>
  <c r="J113" i="15"/>
  <c r="I113" i="15"/>
  <c r="H112" i="15"/>
  <c r="K112" i="15"/>
  <c r="J112" i="15"/>
  <c r="I112" i="15"/>
  <c r="H111" i="15"/>
  <c r="K111" i="15"/>
  <c r="J111" i="15"/>
  <c r="I111" i="15"/>
  <c r="H110" i="15"/>
  <c r="K110" i="15"/>
  <c r="J110" i="15"/>
  <c r="I110" i="15"/>
  <c r="H109" i="15"/>
  <c r="K109" i="15"/>
  <c r="J109" i="15"/>
  <c r="I109" i="15"/>
  <c r="H108" i="15"/>
  <c r="K108" i="15"/>
  <c r="J108" i="15"/>
  <c r="I108" i="15"/>
  <c r="H107" i="15"/>
  <c r="K107" i="15"/>
  <c r="J107" i="15"/>
  <c r="I107" i="15"/>
  <c r="H106" i="15"/>
  <c r="K106" i="15"/>
  <c r="J106" i="15"/>
  <c r="I106" i="15"/>
  <c r="H105" i="15"/>
  <c r="K105" i="15"/>
  <c r="J105" i="15"/>
  <c r="I105" i="15"/>
  <c r="H104" i="15"/>
  <c r="K104" i="15"/>
  <c r="J104" i="15"/>
  <c r="I104" i="15"/>
  <c r="H103" i="15"/>
  <c r="K103" i="15"/>
  <c r="J103" i="15"/>
  <c r="I103" i="15"/>
  <c r="H102" i="15"/>
  <c r="K102" i="15"/>
  <c r="J102" i="15"/>
  <c r="I102" i="15"/>
  <c r="H101" i="15"/>
  <c r="K101" i="15"/>
  <c r="J101" i="15"/>
  <c r="I101" i="15"/>
  <c r="H100" i="15"/>
  <c r="K100" i="15"/>
  <c r="J100" i="15"/>
  <c r="I100" i="15"/>
  <c r="H99" i="15"/>
  <c r="K99" i="15"/>
  <c r="J99" i="15"/>
  <c r="I99" i="15"/>
  <c r="H98" i="15"/>
  <c r="K98" i="15"/>
  <c r="J98" i="15"/>
  <c r="I98" i="15"/>
  <c r="H97" i="15"/>
  <c r="K97" i="15"/>
  <c r="J97" i="15"/>
  <c r="I97" i="15"/>
  <c r="H96" i="15"/>
  <c r="K96" i="15"/>
  <c r="J96" i="15"/>
  <c r="I96" i="15"/>
  <c r="H95" i="15"/>
  <c r="K95" i="15"/>
  <c r="J95" i="15"/>
  <c r="I95" i="15"/>
  <c r="H94" i="15"/>
  <c r="K94" i="15"/>
  <c r="J94" i="15"/>
  <c r="I94" i="15"/>
  <c r="H93" i="15"/>
  <c r="K93" i="15"/>
  <c r="J93" i="15"/>
  <c r="I93" i="15"/>
  <c r="H92" i="15"/>
  <c r="K92" i="15"/>
  <c r="J92" i="15"/>
  <c r="I92" i="15"/>
  <c r="H91" i="15"/>
  <c r="K91" i="15"/>
  <c r="J91" i="15"/>
  <c r="I91" i="15"/>
  <c r="H90" i="15"/>
  <c r="K90" i="15"/>
  <c r="J90" i="15"/>
  <c r="I90" i="15"/>
  <c r="H89" i="15"/>
  <c r="K89" i="15"/>
  <c r="J89" i="15"/>
  <c r="I89" i="15"/>
  <c r="H88" i="15"/>
  <c r="K88" i="15"/>
  <c r="J88" i="15"/>
  <c r="I88" i="15"/>
  <c r="H87" i="15"/>
  <c r="K87" i="15"/>
  <c r="J87" i="15"/>
  <c r="I87" i="15"/>
  <c r="H86" i="15"/>
  <c r="K86" i="15"/>
  <c r="J86" i="15"/>
  <c r="I86" i="15"/>
  <c r="H85" i="15"/>
  <c r="K85" i="15"/>
  <c r="J85" i="15"/>
  <c r="I85" i="15"/>
  <c r="H84" i="15"/>
  <c r="K84" i="15"/>
  <c r="J84" i="15"/>
  <c r="I84" i="15"/>
  <c r="H83" i="15"/>
  <c r="K83" i="15"/>
  <c r="J83" i="15"/>
  <c r="I83" i="15"/>
  <c r="H82" i="15"/>
  <c r="K82" i="15"/>
  <c r="J82" i="15"/>
  <c r="I82" i="15"/>
  <c r="H81" i="15"/>
  <c r="K81" i="15"/>
  <c r="J81" i="15"/>
  <c r="I81" i="15"/>
  <c r="H80" i="15"/>
  <c r="K80" i="15"/>
  <c r="J80" i="15"/>
  <c r="I80" i="15"/>
  <c r="H79" i="15"/>
  <c r="K79" i="15"/>
  <c r="J79" i="15"/>
  <c r="I79" i="15"/>
  <c r="H78" i="15"/>
  <c r="K78" i="15"/>
  <c r="J78" i="15"/>
  <c r="I78" i="15"/>
  <c r="H77" i="15"/>
  <c r="K77" i="15"/>
  <c r="J77" i="15"/>
  <c r="I77" i="15"/>
  <c r="H76" i="15"/>
  <c r="K76" i="15"/>
  <c r="J76" i="15"/>
  <c r="I76" i="15"/>
  <c r="H75" i="15"/>
  <c r="K75" i="15"/>
  <c r="J75" i="15"/>
  <c r="I75" i="15"/>
  <c r="H74" i="15"/>
  <c r="K74" i="15"/>
  <c r="J74" i="15"/>
  <c r="I74" i="15"/>
  <c r="H73" i="15"/>
  <c r="K73" i="15"/>
  <c r="J73" i="15"/>
  <c r="I73" i="15"/>
  <c r="H72" i="15"/>
  <c r="K72" i="15"/>
  <c r="J72" i="15"/>
  <c r="I72" i="15"/>
  <c r="H71" i="15"/>
  <c r="K71" i="15"/>
  <c r="J71" i="15"/>
  <c r="I71" i="15"/>
  <c r="H70" i="15"/>
  <c r="K70" i="15"/>
  <c r="J70" i="15"/>
  <c r="I70" i="15"/>
  <c r="H69" i="15"/>
  <c r="K69" i="15"/>
  <c r="J69" i="15"/>
  <c r="I69" i="15"/>
  <c r="H68" i="15"/>
  <c r="K68" i="15"/>
  <c r="J68" i="15"/>
  <c r="I68" i="15"/>
  <c r="H67" i="15"/>
  <c r="K67" i="15"/>
  <c r="J67" i="15"/>
  <c r="I67" i="15"/>
  <c r="H66" i="15"/>
  <c r="K66" i="15"/>
  <c r="J66" i="15"/>
  <c r="I66" i="15"/>
  <c r="H65" i="15"/>
  <c r="K65" i="15"/>
  <c r="J65" i="15"/>
  <c r="I65" i="15"/>
  <c r="H64" i="15"/>
  <c r="K64" i="15"/>
  <c r="J64" i="15"/>
  <c r="I64" i="15"/>
  <c r="H63" i="15"/>
  <c r="K63" i="15"/>
  <c r="J63" i="15"/>
  <c r="I63" i="15"/>
  <c r="H62" i="15"/>
  <c r="K62" i="15"/>
  <c r="J62" i="15"/>
  <c r="I62" i="15"/>
  <c r="H61" i="15"/>
  <c r="K61" i="15"/>
  <c r="J61" i="15"/>
  <c r="I61" i="15"/>
  <c r="H60" i="15"/>
  <c r="K60" i="15"/>
  <c r="J60" i="15"/>
  <c r="I60" i="15"/>
  <c r="H59" i="15"/>
  <c r="K59" i="15"/>
  <c r="J59" i="15"/>
  <c r="I59" i="15"/>
  <c r="H58" i="15"/>
  <c r="K58" i="15"/>
  <c r="J58" i="15"/>
  <c r="I58" i="15"/>
  <c r="H57" i="15"/>
  <c r="K57" i="15"/>
  <c r="J57" i="15"/>
  <c r="I57" i="15"/>
  <c r="H56" i="15"/>
  <c r="K56" i="15"/>
  <c r="J56" i="15"/>
  <c r="I56" i="15"/>
  <c r="H55" i="15"/>
  <c r="K55" i="15"/>
  <c r="J55" i="15"/>
  <c r="I55" i="15"/>
  <c r="H54" i="15"/>
  <c r="K54" i="15"/>
  <c r="J54" i="15"/>
  <c r="I54" i="15"/>
  <c r="H53" i="15"/>
  <c r="K53" i="15"/>
  <c r="J53" i="15"/>
  <c r="I53" i="15"/>
  <c r="H52" i="15"/>
  <c r="K52" i="15"/>
  <c r="J52" i="15"/>
  <c r="I52" i="15"/>
  <c r="H51" i="15"/>
  <c r="K51" i="15"/>
  <c r="J51" i="15"/>
  <c r="I51" i="15"/>
  <c r="H50" i="15"/>
  <c r="K50" i="15"/>
  <c r="J50" i="15"/>
  <c r="I50" i="15"/>
  <c r="H49" i="15"/>
  <c r="K49" i="15"/>
  <c r="J49" i="15"/>
  <c r="I49" i="15"/>
  <c r="H48" i="15"/>
  <c r="K48" i="15"/>
  <c r="J48" i="15"/>
  <c r="I48" i="15"/>
  <c r="H47" i="15"/>
  <c r="K47" i="15"/>
  <c r="J47" i="15"/>
  <c r="I47" i="15"/>
  <c r="H46" i="15"/>
  <c r="K46" i="15"/>
  <c r="J46" i="15"/>
  <c r="I46" i="15"/>
  <c r="H45" i="15"/>
  <c r="K45" i="15"/>
  <c r="J45" i="15"/>
  <c r="I45" i="15"/>
  <c r="H44" i="15"/>
  <c r="K44" i="15"/>
  <c r="J44" i="15"/>
  <c r="I44" i="15"/>
  <c r="H43" i="15"/>
  <c r="K43" i="15"/>
  <c r="J43" i="15"/>
  <c r="I43" i="15"/>
  <c r="H42" i="15"/>
  <c r="K42" i="15"/>
  <c r="J42" i="15"/>
  <c r="I42" i="15"/>
  <c r="H41" i="15"/>
  <c r="K41" i="15"/>
  <c r="J41" i="15"/>
  <c r="I41" i="15"/>
  <c r="H40" i="15"/>
  <c r="K40" i="15"/>
  <c r="J40" i="15"/>
  <c r="I40" i="15"/>
  <c r="H39" i="15"/>
  <c r="K39" i="15"/>
  <c r="J39" i="15"/>
  <c r="I39" i="15"/>
  <c r="H38" i="15"/>
  <c r="K38" i="15"/>
  <c r="J38" i="15"/>
  <c r="I38" i="15"/>
  <c r="H37" i="15"/>
  <c r="K37" i="15"/>
  <c r="J37" i="15"/>
  <c r="I37" i="15"/>
  <c r="H36" i="15"/>
  <c r="K36" i="15"/>
  <c r="J36" i="15"/>
  <c r="I36" i="15"/>
  <c r="H35" i="15"/>
  <c r="K35" i="15"/>
  <c r="J35" i="15"/>
  <c r="I35" i="15"/>
  <c r="H34" i="15"/>
  <c r="K34" i="15"/>
  <c r="J34" i="15"/>
  <c r="I34" i="15"/>
  <c r="H33" i="15"/>
  <c r="K33" i="15"/>
  <c r="J33" i="15"/>
  <c r="I33" i="15"/>
  <c r="H32" i="15"/>
  <c r="K32" i="15"/>
  <c r="J32" i="15"/>
  <c r="I32" i="15"/>
  <c r="H31" i="15"/>
  <c r="K31" i="15"/>
  <c r="J31" i="15"/>
  <c r="I31" i="15"/>
  <c r="H30" i="15"/>
  <c r="K30" i="15"/>
  <c r="J30" i="15"/>
  <c r="I30" i="15"/>
  <c r="H29" i="15"/>
  <c r="K29" i="15"/>
  <c r="J29" i="15"/>
  <c r="I29" i="15"/>
  <c r="H28" i="15"/>
  <c r="K28" i="15"/>
  <c r="J28" i="15"/>
  <c r="I28" i="15"/>
  <c r="H27" i="15"/>
  <c r="K27" i="15"/>
  <c r="J27" i="15"/>
  <c r="I27" i="15"/>
  <c r="H26" i="15"/>
  <c r="K26" i="15"/>
  <c r="J26" i="15"/>
  <c r="I26" i="15"/>
  <c r="H25" i="15"/>
  <c r="K25" i="15"/>
  <c r="J25" i="15"/>
  <c r="I25" i="15"/>
  <c r="H24" i="15"/>
  <c r="K24" i="15"/>
  <c r="J24" i="15"/>
  <c r="I24" i="15"/>
  <c r="H23" i="15"/>
  <c r="K23" i="15"/>
  <c r="J23" i="15"/>
  <c r="I23" i="15"/>
  <c r="H22" i="15"/>
  <c r="K22" i="15"/>
  <c r="J22" i="15"/>
  <c r="I22" i="15"/>
  <c r="H21" i="15"/>
  <c r="K21" i="15"/>
  <c r="J21" i="15"/>
  <c r="I21" i="15"/>
  <c r="H20" i="15"/>
  <c r="K20" i="15"/>
  <c r="J20" i="15"/>
  <c r="I20" i="15"/>
  <c r="H19" i="15"/>
  <c r="K19" i="15"/>
  <c r="J19" i="15"/>
  <c r="I19" i="15"/>
  <c r="H18" i="15"/>
  <c r="K18" i="15"/>
  <c r="J18" i="15"/>
  <c r="I18" i="15"/>
  <c r="H17" i="15"/>
  <c r="K17" i="15"/>
  <c r="J17" i="15"/>
  <c r="I17" i="15"/>
  <c r="H16" i="15"/>
  <c r="K16" i="15"/>
  <c r="J16" i="15"/>
  <c r="I16" i="15"/>
  <c r="I15" i="15"/>
  <c r="Q7" i="15"/>
  <c r="N5" i="15"/>
  <c r="K9" i="12"/>
  <c r="R8" i="12"/>
  <c r="K15" i="12"/>
  <c r="L15" i="12"/>
  <c r="J15" i="12"/>
  <c r="C15" i="12"/>
  <c r="D15" i="12"/>
  <c r="E15" i="12"/>
  <c r="K3" i="12"/>
  <c r="K5" i="12"/>
  <c r="G6" i="12"/>
  <c r="O6" i="12"/>
  <c r="K2" i="12"/>
  <c r="G8" i="12"/>
  <c r="O8" i="12"/>
  <c r="K4" i="12"/>
  <c r="G5" i="12"/>
  <c r="O5" i="12"/>
  <c r="K1" i="12"/>
  <c r="G4" i="12"/>
  <c r="O4" i="12"/>
  <c r="P10" i="12"/>
  <c r="K16" i="12"/>
  <c r="L16" i="12"/>
  <c r="J16" i="12"/>
  <c r="C16" i="12"/>
  <c r="D16" i="12"/>
  <c r="K17" i="12"/>
  <c r="E16" i="12"/>
  <c r="L17" i="12"/>
  <c r="J17" i="12"/>
  <c r="C17" i="12"/>
  <c r="D17" i="12"/>
  <c r="K18" i="12"/>
  <c r="E17" i="12"/>
  <c r="L18" i="12"/>
  <c r="J18" i="12"/>
  <c r="C18" i="12"/>
  <c r="D18" i="12"/>
  <c r="K19" i="12"/>
  <c r="E18" i="12"/>
  <c r="L19" i="12"/>
  <c r="J19" i="12"/>
  <c r="C19" i="12"/>
  <c r="D19" i="12"/>
  <c r="K20" i="12"/>
  <c r="E19" i="12"/>
  <c r="L20" i="12"/>
  <c r="J20" i="12"/>
  <c r="C20" i="12"/>
  <c r="D20" i="12"/>
  <c r="K21" i="12"/>
  <c r="E20" i="12"/>
  <c r="L21" i="12"/>
  <c r="J21" i="12"/>
  <c r="C21" i="12"/>
  <c r="D21" i="12"/>
  <c r="K22" i="12"/>
  <c r="E21" i="12"/>
  <c r="L22" i="12"/>
  <c r="J22" i="12"/>
  <c r="C22" i="12"/>
  <c r="D22" i="12"/>
  <c r="K23" i="12"/>
  <c r="E22" i="12"/>
  <c r="L23" i="12"/>
  <c r="J23" i="12"/>
  <c r="C23" i="12"/>
  <c r="D23" i="12"/>
  <c r="K24" i="12"/>
  <c r="E23" i="12"/>
  <c r="L24" i="12"/>
  <c r="J24" i="12"/>
  <c r="C24" i="12"/>
  <c r="D24" i="12"/>
  <c r="K25" i="12"/>
  <c r="E24" i="12"/>
  <c r="L25" i="12"/>
  <c r="J25" i="12"/>
  <c r="C25" i="12"/>
  <c r="D25" i="12"/>
  <c r="K26" i="12"/>
  <c r="E25" i="12"/>
  <c r="L26" i="12"/>
  <c r="J26" i="12"/>
  <c r="C26" i="12"/>
  <c r="D26" i="12"/>
  <c r="K27" i="12"/>
  <c r="E26" i="12"/>
  <c r="L27" i="12"/>
  <c r="J27" i="12"/>
  <c r="C27" i="12"/>
  <c r="D27" i="12"/>
  <c r="K28" i="12"/>
  <c r="E27" i="12"/>
  <c r="L28" i="12"/>
  <c r="J28" i="12"/>
  <c r="C28" i="12"/>
  <c r="D28" i="12"/>
  <c r="K29" i="12"/>
  <c r="E28" i="12"/>
  <c r="L29" i="12"/>
  <c r="J29" i="12"/>
  <c r="C29" i="12"/>
  <c r="D29" i="12"/>
  <c r="K30" i="12"/>
  <c r="E29" i="12"/>
  <c r="L30" i="12"/>
  <c r="J30" i="12"/>
  <c r="C30" i="12"/>
  <c r="D30" i="12"/>
  <c r="K31" i="12"/>
  <c r="E30" i="12"/>
  <c r="L31" i="12"/>
  <c r="J31" i="12"/>
  <c r="C31" i="12"/>
  <c r="D31" i="12"/>
  <c r="K32" i="12"/>
  <c r="E31" i="12"/>
  <c r="L32" i="12"/>
  <c r="J32" i="12"/>
  <c r="C32" i="12"/>
  <c r="D32" i="12"/>
  <c r="K33" i="12"/>
  <c r="E32" i="12"/>
  <c r="L33" i="12"/>
  <c r="J33" i="12"/>
  <c r="C33" i="12"/>
  <c r="D33" i="12"/>
  <c r="K34" i="12"/>
  <c r="E33" i="12"/>
  <c r="L34" i="12"/>
  <c r="J34" i="12"/>
  <c r="C34" i="12"/>
  <c r="D34" i="12"/>
  <c r="K35" i="12"/>
  <c r="E34" i="12"/>
  <c r="L35" i="12"/>
  <c r="J35" i="12"/>
  <c r="C35" i="12"/>
  <c r="D35" i="12"/>
  <c r="K36" i="12"/>
  <c r="E35" i="12"/>
  <c r="L36" i="12"/>
  <c r="J36" i="12"/>
  <c r="C36" i="12"/>
  <c r="D36" i="12"/>
  <c r="K37" i="12"/>
  <c r="E36" i="12"/>
  <c r="L37" i="12"/>
  <c r="J37" i="12"/>
  <c r="C37" i="12"/>
  <c r="D37" i="12"/>
  <c r="K38" i="12"/>
  <c r="E37" i="12"/>
  <c r="L38" i="12"/>
  <c r="J38" i="12"/>
  <c r="C38" i="12"/>
  <c r="D38" i="12"/>
  <c r="K39" i="12"/>
  <c r="E38" i="12"/>
  <c r="L39" i="12"/>
  <c r="J39" i="12"/>
  <c r="C39" i="12"/>
  <c r="D39" i="12"/>
  <c r="K40" i="12"/>
  <c r="E39" i="12"/>
  <c r="L40" i="12"/>
  <c r="J40" i="12"/>
  <c r="C40" i="12"/>
  <c r="D40" i="12"/>
  <c r="K41" i="12"/>
  <c r="E40" i="12"/>
  <c r="L41" i="12"/>
  <c r="J41" i="12"/>
  <c r="C41" i="12"/>
  <c r="D41" i="12"/>
  <c r="K42" i="12"/>
  <c r="E41" i="12"/>
  <c r="L42" i="12"/>
  <c r="J42" i="12"/>
  <c r="C42" i="12"/>
  <c r="D42" i="12"/>
  <c r="K43" i="12"/>
  <c r="E42" i="12"/>
  <c r="L43" i="12"/>
  <c r="J43" i="12"/>
  <c r="C43" i="12"/>
  <c r="D43" i="12"/>
  <c r="K44" i="12"/>
  <c r="E43" i="12"/>
  <c r="L44" i="12"/>
  <c r="J44" i="12"/>
  <c r="C44" i="12"/>
  <c r="D44" i="12"/>
  <c r="K45" i="12"/>
  <c r="E44" i="12"/>
  <c r="L45" i="12"/>
  <c r="J45" i="12"/>
  <c r="C45" i="12"/>
  <c r="D45" i="12"/>
  <c r="K46" i="12"/>
  <c r="E45" i="12"/>
  <c r="L46" i="12"/>
  <c r="J46" i="12"/>
  <c r="C46" i="12"/>
  <c r="D46" i="12"/>
  <c r="K47" i="12"/>
  <c r="E46" i="12"/>
  <c r="L47" i="12"/>
  <c r="J47" i="12"/>
  <c r="C47" i="12"/>
  <c r="D47" i="12"/>
  <c r="K48" i="12"/>
  <c r="E47" i="12"/>
  <c r="L48" i="12"/>
  <c r="J48" i="12"/>
  <c r="C48" i="12"/>
  <c r="D48" i="12"/>
  <c r="K49" i="12"/>
  <c r="E48" i="12"/>
  <c r="L49" i="12"/>
  <c r="J49" i="12"/>
  <c r="C49" i="12"/>
  <c r="D49" i="12"/>
  <c r="K50" i="12"/>
  <c r="E49" i="12"/>
  <c r="L50" i="12"/>
  <c r="J50" i="12"/>
  <c r="C50" i="12"/>
  <c r="D50" i="12"/>
  <c r="K51" i="12"/>
  <c r="E50" i="12"/>
  <c r="L51" i="12"/>
  <c r="J51" i="12"/>
  <c r="C51" i="12"/>
  <c r="D51" i="12"/>
  <c r="K52" i="12"/>
  <c r="E51" i="12"/>
  <c r="L52" i="12"/>
  <c r="J52" i="12"/>
  <c r="C52" i="12"/>
  <c r="D52" i="12"/>
  <c r="K53" i="12"/>
  <c r="E52" i="12"/>
  <c r="L53" i="12"/>
  <c r="J53" i="12"/>
  <c r="C53" i="12"/>
  <c r="D53" i="12"/>
  <c r="K54" i="12"/>
  <c r="E53" i="12"/>
  <c r="L54" i="12"/>
  <c r="J54" i="12"/>
  <c r="C54" i="12"/>
  <c r="D54" i="12"/>
  <c r="K55" i="12"/>
  <c r="E54" i="12"/>
  <c r="L55" i="12"/>
  <c r="J55" i="12"/>
  <c r="C55" i="12"/>
  <c r="D55" i="12"/>
  <c r="K56" i="12"/>
  <c r="E55" i="12"/>
  <c r="L56" i="12"/>
  <c r="J56" i="12"/>
  <c r="C56" i="12"/>
  <c r="D56" i="12"/>
  <c r="K57" i="12"/>
  <c r="E56" i="12"/>
  <c r="L57" i="12"/>
  <c r="J57" i="12"/>
  <c r="C57" i="12"/>
  <c r="D57" i="12"/>
  <c r="K58" i="12"/>
  <c r="E57" i="12"/>
  <c r="L58" i="12"/>
  <c r="J58" i="12"/>
  <c r="C58" i="12"/>
  <c r="D58" i="12"/>
  <c r="K59" i="12"/>
  <c r="E58" i="12"/>
  <c r="L59" i="12"/>
  <c r="J59" i="12"/>
  <c r="C59" i="12"/>
  <c r="D59" i="12"/>
  <c r="K60" i="12"/>
  <c r="E59" i="12"/>
  <c r="L60" i="12"/>
  <c r="J60" i="12"/>
  <c r="C60" i="12"/>
  <c r="D60" i="12"/>
  <c r="K61" i="12"/>
  <c r="E60" i="12"/>
  <c r="L61" i="12"/>
  <c r="J61" i="12"/>
  <c r="C61" i="12"/>
  <c r="D61" i="12"/>
  <c r="K62" i="12"/>
  <c r="E61" i="12"/>
  <c r="L62" i="12"/>
  <c r="J62" i="12"/>
  <c r="C62" i="12"/>
  <c r="D62" i="12"/>
  <c r="K63" i="12"/>
  <c r="E62" i="12"/>
  <c r="L63" i="12"/>
  <c r="J63" i="12"/>
  <c r="C63" i="12"/>
  <c r="D63" i="12"/>
  <c r="K64" i="12"/>
  <c r="E63" i="12"/>
  <c r="L64" i="12"/>
  <c r="J64" i="12"/>
  <c r="C64" i="12"/>
  <c r="D64" i="12"/>
  <c r="K65" i="12"/>
  <c r="E64" i="12"/>
  <c r="L65" i="12"/>
  <c r="J65" i="12"/>
  <c r="C65" i="12"/>
  <c r="D65" i="12"/>
  <c r="K66" i="12"/>
  <c r="E65" i="12"/>
  <c r="L66" i="12"/>
  <c r="J66" i="12"/>
  <c r="C66" i="12"/>
  <c r="D66" i="12"/>
  <c r="K67" i="12"/>
  <c r="E66" i="12"/>
  <c r="L67" i="12"/>
  <c r="J67" i="12"/>
  <c r="C67" i="12"/>
  <c r="D67" i="12"/>
  <c r="K68" i="12"/>
  <c r="E67" i="12"/>
  <c r="L68" i="12"/>
  <c r="J68" i="12"/>
  <c r="C68" i="12"/>
  <c r="D68" i="12"/>
  <c r="K69" i="12"/>
  <c r="E68" i="12"/>
  <c r="L69" i="12"/>
  <c r="J69" i="12"/>
  <c r="C69" i="12"/>
  <c r="D69" i="12"/>
  <c r="K70" i="12"/>
  <c r="E69" i="12"/>
  <c r="L70" i="12"/>
  <c r="J70" i="12"/>
  <c r="C70" i="12"/>
  <c r="D70" i="12"/>
  <c r="K71" i="12"/>
  <c r="E70" i="12"/>
  <c r="L71" i="12"/>
  <c r="J71" i="12"/>
  <c r="C71" i="12"/>
  <c r="D71" i="12"/>
  <c r="K72" i="12"/>
  <c r="E71" i="12"/>
  <c r="L72" i="12"/>
  <c r="J72" i="12"/>
  <c r="C72" i="12"/>
  <c r="D72" i="12"/>
  <c r="K73" i="12"/>
  <c r="E72" i="12"/>
  <c r="L73" i="12"/>
  <c r="J73" i="12"/>
  <c r="C73" i="12"/>
  <c r="D73" i="12"/>
  <c r="K74" i="12"/>
  <c r="E73" i="12"/>
  <c r="L74" i="12"/>
  <c r="J74" i="12"/>
  <c r="C74" i="12"/>
  <c r="D74" i="12"/>
  <c r="K75" i="12"/>
  <c r="E74" i="12"/>
  <c r="L75" i="12"/>
  <c r="J75" i="12"/>
  <c r="C75" i="12"/>
  <c r="D75" i="12"/>
  <c r="K76" i="12"/>
  <c r="E75" i="12"/>
  <c r="L76" i="12"/>
  <c r="J76" i="12"/>
  <c r="C76" i="12"/>
  <c r="D76" i="12"/>
  <c r="K77" i="12"/>
  <c r="E76" i="12"/>
  <c r="L77" i="12"/>
  <c r="J77" i="12"/>
  <c r="C77" i="12"/>
  <c r="D77" i="12"/>
  <c r="K78" i="12"/>
  <c r="E77" i="12"/>
  <c r="L78" i="12"/>
  <c r="J78" i="12"/>
  <c r="C78" i="12"/>
  <c r="D78" i="12"/>
  <c r="K79" i="12"/>
  <c r="E78" i="12"/>
  <c r="L79" i="12"/>
  <c r="J79" i="12"/>
  <c r="C79" i="12"/>
  <c r="D79" i="12"/>
  <c r="K80" i="12"/>
  <c r="E79" i="12"/>
  <c r="L80" i="12"/>
  <c r="J80" i="12"/>
  <c r="C80" i="12"/>
  <c r="D80" i="12"/>
  <c r="K81" i="12"/>
  <c r="E80" i="12"/>
  <c r="L81" i="12"/>
  <c r="J81" i="12"/>
  <c r="C81" i="12"/>
  <c r="D81" i="12"/>
  <c r="K82" i="12"/>
  <c r="E81" i="12"/>
  <c r="L82" i="12"/>
  <c r="J82" i="12"/>
  <c r="C82" i="12"/>
  <c r="D82" i="12"/>
  <c r="K83" i="12"/>
  <c r="E82" i="12"/>
  <c r="L83" i="12"/>
  <c r="J83" i="12"/>
  <c r="C83" i="12"/>
  <c r="D83" i="12"/>
  <c r="K84" i="12"/>
  <c r="E83" i="12"/>
  <c r="L84" i="12"/>
  <c r="J84" i="12"/>
  <c r="C84" i="12"/>
  <c r="D84" i="12"/>
  <c r="K85" i="12"/>
  <c r="E84" i="12"/>
  <c r="L85" i="12"/>
  <c r="J85" i="12"/>
  <c r="C85" i="12"/>
  <c r="D85" i="12"/>
  <c r="K86" i="12"/>
  <c r="E85" i="12"/>
  <c r="L86" i="12"/>
  <c r="J86" i="12"/>
  <c r="C86" i="12"/>
  <c r="D86" i="12"/>
  <c r="K87" i="12"/>
  <c r="E86" i="12"/>
  <c r="L87" i="12"/>
  <c r="J87" i="12"/>
  <c r="C87" i="12"/>
  <c r="D87" i="12"/>
  <c r="K88" i="12"/>
  <c r="E87" i="12"/>
  <c r="L88" i="12"/>
  <c r="J88" i="12"/>
  <c r="C88" i="12"/>
  <c r="D88" i="12"/>
  <c r="K89" i="12"/>
  <c r="E88" i="12"/>
  <c r="L89" i="12"/>
  <c r="J89" i="12"/>
  <c r="C89" i="12"/>
  <c r="D89" i="12"/>
  <c r="K90" i="12"/>
  <c r="E89" i="12"/>
  <c r="L90" i="12"/>
  <c r="J90" i="12"/>
  <c r="C90" i="12"/>
  <c r="D90" i="12"/>
  <c r="K91" i="12"/>
  <c r="E90" i="12"/>
  <c r="L91" i="12"/>
  <c r="J91" i="12"/>
  <c r="C91" i="12"/>
  <c r="D91" i="12"/>
  <c r="K92" i="12"/>
  <c r="E91" i="12"/>
  <c r="L92" i="12"/>
  <c r="J92" i="12"/>
  <c r="C92" i="12"/>
  <c r="D92" i="12"/>
  <c r="K93" i="12"/>
  <c r="E92" i="12"/>
  <c r="L93" i="12"/>
  <c r="J93" i="12"/>
  <c r="C93" i="12"/>
  <c r="D93" i="12"/>
  <c r="K94" i="12"/>
  <c r="E93" i="12"/>
  <c r="L94" i="12"/>
  <c r="J94" i="12"/>
  <c r="C94" i="12"/>
  <c r="D94" i="12"/>
  <c r="K95" i="12"/>
  <c r="E94" i="12"/>
  <c r="L95" i="12"/>
  <c r="J95" i="12"/>
  <c r="C95" i="12"/>
  <c r="D95" i="12"/>
  <c r="K96" i="12"/>
  <c r="E95" i="12"/>
  <c r="L96" i="12"/>
  <c r="J96" i="12"/>
  <c r="C96" i="12"/>
  <c r="D96" i="12"/>
  <c r="K97" i="12"/>
  <c r="E96" i="12"/>
  <c r="L97" i="12"/>
  <c r="J97" i="12"/>
  <c r="C97" i="12"/>
  <c r="D97" i="12"/>
  <c r="K98" i="12"/>
  <c r="E97" i="12"/>
  <c r="L98" i="12"/>
  <c r="J98" i="12"/>
  <c r="C98" i="12"/>
  <c r="D98" i="12"/>
  <c r="K99" i="12"/>
  <c r="E98" i="12"/>
  <c r="L99" i="12"/>
  <c r="J99" i="12"/>
  <c r="C99" i="12"/>
  <c r="D99" i="12"/>
  <c r="K100" i="12"/>
  <c r="E99" i="12"/>
  <c r="L100" i="12"/>
  <c r="J100" i="12"/>
  <c r="C100" i="12"/>
  <c r="D100" i="12"/>
  <c r="K101" i="12"/>
  <c r="E100" i="12"/>
  <c r="L101" i="12"/>
  <c r="J101" i="12"/>
  <c r="C101" i="12"/>
  <c r="D101" i="12"/>
  <c r="K102" i="12"/>
  <c r="E101" i="12"/>
  <c r="L102" i="12"/>
  <c r="J102" i="12"/>
  <c r="C102" i="12"/>
  <c r="D102" i="12"/>
  <c r="K103" i="12"/>
  <c r="E102" i="12"/>
  <c r="L103" i="12"/>
  <c r="J103" i="12"/>
  <c r="C103" i="12"/>
  <c r="D103" i="12"/>
  <c r="K104" i="12"/>
  <c r="E103" i="12"/>
  <c r="L104" i="12"/>
  <c r="J104" i="12"/>
  <c r="C104" i="12"/>
  <c r="D104" i="12"/>
  <c r="K105" i="12"/>
  <c r="E104" i="12"/>
  <c r="L105" i="12"/>
  <c r="J105" i="12"/>
  <c r="C105" i="12"/>
  <c r="D105" i="12"/>
  <c r="K106" i="12"/>
  <c r="E105" i="12"/>
  <c r="L106" i="12"/>
  <c r="J106" i="12"/>
  <c r="C106" i="12"/>
  <c r="D106" i="12"/>
  <c r="K107" i="12"/>
  <c r="E106" i="12"/>
  <c r="L107" i="12"/>
  <c r="J107" i="12"/>
  <c r="C107" i="12"/>
  <c r="D107" i="12"/>
  <c r="K108" i="12"/>
  <c r="E107" i="12"/>
  <c r="L108" i="12"/>
  <c r="J108" i="12"/>
  <c r="C108" i="12"/>
  <c r="D108" i="12"/>
  <c r="K109" i="12"/>
  <c r="E108" i="12"/>
  <c r="L109" i="12"/>
  <c r="J109" i="12"/>
  <c r="C109" i="12"/>
  <c r="D109" i="12"/>
  <c r="K110" i="12"/>
  <c r="E109" i="12"/>
  <c r="L110" i="12"/>
  <c r="J110" i="12"/>
  <c r="C110" i="12"/>
  <c r="D110" i="12"/>
  <c r="K111" i="12"/>
  <c r="E110" i="12"/>
  <c r="L111" i="12"/>
  <c r="J111" i="12"/>
  <c r="C111" i="12"/>
  <c r="D111" i="12"/>
  <c r="K112" i="12"/>
  <c r="E111" i="12"/>
  <c r="L112" i="12"/>
  <c r="J112" i="12"/>
  <c r="C112" i="12"/>
  <c r="D112" i="12"/>
  <c r="K113" i="12"/>
  <c r="E112" i="12"/>
  <c r="L113" i="12"/>
  <c r="J113" i="12"/>
  <c r="C113" i="12"/>
  <c r="D113" i="12"/>
  <c r="E113" i="12"/>
  <c r="L114" i="12"/>
  <c r="K114" i="12"/>
  <c r="J114" i="12"/>
  <c r="C114" i="12"/>
  <c r="D114" i="12"/>
  <c r="E114" i="12"/>
  <c r="K6" i="12"/>
  <c r="F114" i="12"/>
  <c r="I114" i="12"/>
  <c r="H114" i="12"/>
  <c r="G114" i="12"/>
  <c r="F113" i="12"/>
  <c r="I113" i="12"/>
  <c r="H113" i="12"/>
  <c r="G113" i="12"/>
  <c r="F112" i="12"/>
  <c r="I112" i="12"/>
  <c r="H112" i="12"/>
  <c r="G112" i="12"/>
  <c r="F111" i="12"/>
  <c r="I111" i="12"/>
  <c r="H111" i="12"/>
  <c r="G111" i="12"/>
  <c r="F110" i="12"/>
  <c r="I110" i="12"/>
  <c r="H110" i="12"/>
  <c r="G110" i="12"/>
  <c r="F109" i="12"/>
  <c r="I109" i="12"/>
  <c r="H109" i="12"/>
  <c r="G109" i="12"/>
  <c r="F108" i="12"/>
  <c r="I108" i="12"/>
  <c r="H108" i="12"/>
  <c r="G108" i="12"/>
  <c r="F107" i="12"/>
  <c r="I107" i="12"/>
  <c r="H107" i="12"/>
  <c r="G107" i="12"/>
  <c r="F106" i="12"/>
  <c r="I106" i="12"/>
  <c r="H106" i="12"/>
  <c r="G106" i="12"/>
  <c r="F105" i="12"/>
  <c r="I105" i="12"/>
  <c r="H105" i="12"/>
  <c r="G105" i="12"/>
  <c r="F104" i="12"/>
  <c r="I104" i="12"/>
  <c r="H104" i="12"/>
  <c r="G104" i="12"/>
  <c r="F103" i="12"/>
  <c r="I103" i="12"/>
  <c r="H103" i="12"/>
  <c r="G103" i="12"/>
  <c r="F102" i="12"/>
  <c r="I102" i="12"/>
  <c r="H102" i="12"/>
  <c r="G102" i="12"/>
  <c r="F101" i="12"/>
  <c r="I101" i="12"/>
  <c r="H101" i="12"/>
  <c r="G101" i="12"/>
  <c r="F100" i="12"/>
  <c r="I100" i="12"/>
  <c r="H100" i="12"/>
  <c r="G100" i="12"/>
  <c r="F99" i="12"/>
  <c r="I99" i="12"/>
  <c r="H99" i="12"/>
  <c r="G99" i="12"/>
  <c r="F98" i="12"/>
  <c r="I98" i="12"/>
  <c r="H98" i="12"/>
  <c r="G98" i="12"/>
  <c r="F97" i="12"/>
  <c r="I97" i="12"/>
  <c r="H97" i="12"/>
  <c r="G97" i="12"/>
  <c r="F96" i="12"/>
  <c r="I96" i="12"/>
  <c r="H96" i="12"/>
  <c r="G96" i="12"/>
  <c r="F95" i="12"/>
  <c r="I95" i="12"/>
  <c r="H95" i="12"/>
  <c r="G95" i="12"/>
  <c r="F94" i="12"/>
  <c r="I94" i="12"/>
  <c r="H94" i="12"/>
  <c r="G94" i="12"/>
  <c r="F93" i="12"/>
  <c r="I93" i="12"/>
  <c r="H93" i="12"/>
  <c r="G93" i="12"/>
  <c r="F92" i="12"/>
  <c r="I92" i="12"/>
  <c r="H92" i="12"/>
  <c r="G92" i="12"/>
  <c r="F91" i="12"/>
  <c r="I91" i="12"/>
  <c r="H91" i="12"/>
  <c r="G91" i="12"/>
  <c r="F90" i="12"/>
  <c r="I90" i="12"/>
  <c r="H90" i="12"/>
  <c r="G90" i="12"/>
  <c r="F89" i="12"/>
  <c r="I89" i="12"/>
  <c r="H89" i="12"/>
  <c r="G89" i="12"/>
  <c r="F88" i="12"/>
  <c r="I88" i="12"/>
  <c r="H88" i="12"/>
  <c r="G88" i="12"/>
  <c r="F87" i="12"/>
  <c r="I87" i="12"/>
  <c r="H87" i="12"/>
  <c r="G87" i="12"/>
  <c r="F86" i="12"/>
  <c r="I86" i="12"/>
  <c r="H86" i="12"/>
  <c r="G86" i="12"/>
  <c r="F85" i="12"/>
  <c r="I85" i="12"/>
  <c r="H85" i="12"/>
  <c r="G85" i="12"/>
  <c r="F84" i="12"/>
  <c r="I84" i="12"/>
  <c r="H84" i="12"/>
  <c r="G84" i="12"/>
  <c r="F83" i="12"/>
  <c r="I83" i="12"/>
  <c r="H83" i="12"/>
  <c r="G83" i="12"/>
  <c r="F82" i="12"/>
  <c r="I82" i="12"/>
  <c r="H82" i="12"/>
  <c r="G82" i="12"/>
  <c r="F81" i="12"/>
  <c r="I81" i="12"/>
  <c r="H81" i="12"/>
  <c r="G81" i="12"/>
  <c r="F80" i="12"/>
  <c r="I80" i="12"/>
  <c r="H80" i="12"/>
  <c r="G80" i="12"/>
  <c r="F79" i="12"/>
  <c r="I79" i="12"/>
  <c r="H79" i="12"/>
  <c r="G79" i="12"/>
  <c r="F78" i="12"/>
  <c r="I78" i="12"/>
  <c r="H78" i="12"/>
  <c r="G78" i="12"/>
  <c r="F77" i="12"/>
  <c r="I77" i="12"/>
  <c r="H77" i="12"/>
  <c r="G77" i="12"/>
  <c r="F76" i="12"/>
  <c r="I76" i="12"/>
  <c r="H76" i="12"/>
  <c r="G76" i="12"/>
  <c r="F75" i="12"/>
  <c r="I75" i="12"/>
  <c r="H75" i="12"/>
  <c r="G75" i="12"/>
  <c r="F74" i="12"/>
  <c r="I74" i="12"/>
  <c r="H74" i="12"/>
  <c r="G74" i="12"/>
  <c r="F73" i="12"/>
  <c r="I73" i="12"/>
  <c r="H73" i="12"/>
  <c r="G73" i="12"/>
  <c r="F72" i="12"/>
  <c r="I72" i="12"/>
  <c r="H72" i="12"/>
  <c r="G72" i="12"/>
  <c r="F71" i="12"/>
  <c r="I71" i="12"/>
  <c r="H71" i="12"/>
  <c r="G71" i="12"/>
  <c r="F70" i="12"/>
  <c r="I70" i="12"/>
  <c r="H70" i="12"/>
  <c r="G70" i="12"/>
  <c r="F69" i="12"/>
  <c r="I69" i="12"/>
  <c r="H69" i="12"/>
  <c r="G69" i="12"/>
  <c r="F68" i="12"/>
  <c r="I68" i="12"/>
  <c r="H68" i="12"/>
  <c r="G68" i="12"/>
  <c r="F67" i="12"/>
  <c r="I67" i="12"/>
  <c r="H67" i="12"/>
  <c r="G67" i="12"/>
  <c r="F66" i="12"/>
  <c r="I66" i="12"/>
  <c r="H66" i="12"/>
  <c r="G66" i="12"/>
  <c r="F65" i="12"/>
  <c r="I65" i="12"/>
  <c r="H65" i="12"/>
  <c r="G65" i="12"/>
  <c r="F64" i="12"/>
  <c r="I64" i="12"/>
  <c r="H64" i="12"/>
  <c r="G64" i="12"/>
  <c r="F63" i="12"/>
  <c r="I63" i="12"/>
  <c r="H63" i="12"/>
  <c r="G63" i="12"/>
  <c r="F62" i="12"/>
  <c r="I62" i="12"/>
  <c r="H62" i="12"/>
  <c r="G62" i="12"/>
  <c r="F61" i="12"/>
  <c r="I61" i="12"/>
  <c r="H61" i="12"/>
  <c r="G61" i="12"/>
  <c r="F60" i="12"/>
  <c r="I60" i="12"/>
  <c r="H60" i="12"/>
  <c r="G60" i="12"/>
  <c r="F59" i="12"/>
  <c r="I59" i="12"/>
  <c r="H59" i="12"/>
  <c r="G59" i="12"/>
  <c r="F58" i="12"/>
  <c r="I58" i="12"/>
  <c r="H58" i="12"/>
  <c r="G58" i="12"/>
  <c r="F57" i="12"/>
  <c r="I57" i="12"/>
  <c r="H57" i="12"/>
  <c r="G57" i="12"/>
  <c r="F56" i="12"/>
  <c r="I56" i="12"/>
  <c r="H56" i="12"/>
  <c r="G56" i="12"/>
  <c r="F55" i="12"/>
  <c r="I55" i="12"/>
  <c r="H55" i="12"/>
  <c r="G55" i="12"/>
  <c r="F54" i="12"/>
  <c r="I54" i="12"/>
  <c r="H54" i="12"/>
  <c r="G54" i="12"/>
  <c r="F53" i="12"/>
  <c r="I53" i="12"/>
  <c r="H53" i="12"/>
  <c r="G53" i="12"/>
  <c r="F52" i="12"/>
  <c r="I52" i="12"/>
  <c r="H52" i="12"/>
  <c r="G52" i="12"/>
  <c r="F51" i="12"/>
  <c r="I51" i="12"/>
  <c r="H51" i="12"/>
  <c r="G51" i="12"/>
  <c r="F50" i="12"/>
  <c r="I50" i="12"/>
  <c r="H50" i="12"/>
  <c r="G50" i="12"/>
  <c r="F49" i="12"/>
  <c r="I49" i="12"/>
  <c r="H49" i="12"/>
  <c r="G49" i="12"/>
  <c r="F48" i="12"/>
  <c r="I48" i="12"/>
  <c r="H48" i="12"/>
  <c r="G48" i="12"/>
  <c r="F47" i="12"/>
  <c r="I47" i="12"/>
  <c r="H47" i="12"/>
  <c r="G47" i="12"/>
  <c r="F46" i="12"/>
  <c r="I46" i="12"/>
  <c r="H46" i="12"/>
  <c r="G46" i="12"/>
  <c r="F45" i="12"/>
  <c r="I45" i="12"/>
  <c r="H45" i="12"/>
  <c r="G45" i="12"/>
  <c r="F44" i="12"/>
  <c r="I44" i="12"/>
  <c r="H44" i="12"/>
  <c r="G44" i="12"/>
  <c r="F43" i="12"/>
  <c r="I43" i="12"/>
  <c r="H43" i="12"/>
  <c r="G43" i="12"/>
  <c r="F42" i="12"/>
  <c r="I42" i="12"/>
  <c r="H42" i="12"/>
  <c r="G42" i="12"/>
  <c r="F41" i="12"/>
  <c r="I41" i="12"/>
  <c r="H41" i="12"/>
  <c r="G41" i="12"/>
  <c r="F40" i="12"/>
  <c r="I40" i="12"/>
  <c r="H40" i="12"/>
  <c r="G40" i="12"/>
  <c r="F39" i="12"/>
  <c r="I39" i="12"/>
  <c r="H39" i="12"/>
  <c r="G39" i="12"/>
  <c r="F38" i="12"/>
  <c r="I38" i="12"/>
  <c r="H38" i="12"/>
  <c r="G38" i="12"/>
  <c r="F37" i="12"/>
  <c r="I37" i="12"/>
  <c r="H37" i="12"/>
  <c r="G37" i="12"/>
  <c r="F36" i="12"/>
  <c r="I36" i="12"/>
  <c r="H36" i="12"/>
  <c r="G36" i="12"/>
  <c r="F35" i="12"/>
  <c r="I35" i="12"/>
  <c r="H35" i="12"/>
  <c r="G35" i="12"/>
  <c r="F34" i="12"/>
  <c r="I34" i="12"/>
  <c r="H34" i="12"/>
  <c r="G34" i="12"/>
  <c r="F33" i="12"/>
  <c r="I33" i="12"/>
  <c r="H33" i="12"/>
  <c r="G33" i="12"/>
  <c r="F32" i="12"/>
  <c r="I32" i="12"/>
  <c r="H32" i="12"/>
  <c r="G32" i="12"/>
  <c r="F31" i="12"/>
  <c r="I31" i="12"/>
  <c r="H31" i="12"/>
  <c r="G31" i="12"/>
  <c r="F30" i="12"/>
  <c r="I30" i="12"/>
  <c r="H30" i="12"/>
  <c r="G30" i="12"/>
  <c r="F29" i="12"/>
  <c r="I29" i="12"/>
  <c r="H29" i="12"/>
  <c r="G29" i="12"/>
  <c r="F28" i="12"/>
  <c r="I28" i="12"/>
  <c r="H28" i="12"/>
  <c r="G28" i="12"/>
  <c r="F27" i="12"/>
  <c r="I27" i="12"/>
  <c r="H27" i="12"/>
  <c r="G27" i="12"/>
  <c r="F26" i="12"/>
  <c r="I26" i="12"/>
  <c r="H26" i="12"/>
  <c r="G26" i="12"/>
  <c r="F25" i="12"/>
  <c r="I25" i="12"/>
  <c r="H25" i="12"/>
  <c r="G25" i="12"/>
  <c r="F24" i="12"/>
  <c r="I24" i="12"/>
  <c r="H24" i="12"/>
  <c r="G24" i="12"/>
  <c r="F23" i="12"/>
  <c r="I23" i="12"/>
  <c r="H23" i="12"/>
  <c r="G23" i="12"/>
  <c r="F22" i="12"/>
  <c r="I22" i="12"/>
  <c r="H22" i="12"/>
  <c r="G22" i="12"/>
  <c r="F21" i="12"/>
  <c r="I21" i="12"/>
  <c r="H21" i="12"/>
  <c r="G21" i="12"/>
  <c r="F20" i="12"/>
  <c r="I20" i="12"/>
  <c r="H20" i="12"/>
  <c r="G20" i="12"/>
  <c r="F19" i="12"/>
  <c r="I19" i="12"/>
  <c r="H19" i="12"/>
  <c r="G19" i="12"/>
  <c r="F18" i="12"/>
  <c r="I18" i="12"/>
  <c r="H18" i="12"/>
  <c r="G18" i="12"/>
  <c r="F17" i="12"/>
  <c r="I17" i="12"/>
  <c r="H17" i="12"/>
  <c r="G17" i="12"/>
  <c r="F16" i="12"/>
  <c r="I16" i="12"/>
  <c r="H16" i="12"/>
  <c r="G16" i="12"/>
  <c r="F15" i="12"/>
  <c r="I15" i="12"/>
  <c r="H15" i="12"/>
  <c r="G15" i="12"/>
  <c r="G14" i="12"/>
  <c r="O7" i="12"/>
  <c r="L5" i="12"/>
  <c r="G16" i="9"/>
  <c r="J17" i="9"/>
  <c r="K17" i="9"/>
  <c r="R18" i="9"/>
  <c r="L17" i="9"/>
  <c r="S18" i="9"/>
  <c r="Q18" i="9"/>
  <c r="M17" i="9"/>
  <c r="D17" i="9"/>
  <c r="E17" i="9"/>
  <c r="F17" i="9"/>
  <c r="G17" i="9"/>
  <c r="J18" i="9"/>
  <c r="K18" i="9"/>
  <c r="R19" i="9"/>
  <c r="L18" i="9"/>
  <c r="S19" i="9"/>
  <c r="Q19" i="9"/>
  <c r="M18" i="9"/>
  <c r="D18" i="9"/>
  <c r="E18" i="9"/>
  <c r="F18" i="9"/>
  <c r="G18" i="9"/>
  <c r="J19" i="9"/>
  <c r="K19" i="9"/>
  <c r="R20" i="9"/>
  <c r="L19" i="9"/>
  <c r="S20" i="9"/>
  <c r="Q20" i="9"/>
  <c r="M19" i="9"/>
  <c r="D19" i="9"/>
  <c r="E19" i="9"/>
  <c r="F19" i="9"/>
  <c r="G19" i="9"/>
  <c r="J20" i="9"/>
  <c r="K20" i="9"/>
  <c r="R21" i="9"/>
  <c r="L20" i="9"/>
  <c r="S21" i="9"/>
  <c r="Q21" i="9"/>
  <c r="M20" i="9"/>
  <c r="D20" i="9"/>
  <c r="E20" i="9"/>
  <c r="F20" i="9"/>
  <c r="G20" i="9"/>
  <c r="J21" i="9"/>
  <c r="K21" i="9"/>
  <c r="R22" i="9"/>
  <c r="L21" i="9"/>
  <c r="S22" i="9"/>
  <c r="Q22" i="9"/>
  <c r="M21" i="9"/>
  <c r="D21" i="9"/>
  <c r="E21" i="9"/>
  <c r="F21" i="9"/>
  <c r="G21" i="9"/>
  <c r="J22" i="9"/>
  <c r="K22" i="9"/>
  <c r="R23" i="9"/>
  <c r="L22" i="9"/>
  <c r="S23" i="9"/>
  <c r="Q23" i="9"/>
  <c r="M22" i="9"/>
  <c r="D22" i="9"/>
  <c r="E22" i="9"/>
  <c r="F22" i="9"/>
  <c r="G22" i="9"/>
  <c r="J23" i="9"/>
  <c r="K23" i="9"/>
  <c r="R24" i="9"/>
  <c r="L23" i="9"/>
  <c r="S24" i="9"/>
  <c r="Q24" i="9"/>
  <c r="M23" i="9"/>
  <c r="D23" i="9"/>
  <c r="E23" i="9"/>
  <c r="F23" i="9"/>
  <c r="G23" i="9"/>
  <c r="J24" i="9"/>
  <c r="K24" i="9"/>
  <c r="R25" i="9"/>
  <c r="L24" i="9"/>
  <c r="S25" i="9"/>
  <c r="Q25" i="9"/>
  <c r="M24" i="9"/>
  <c r="D24" i="9"/>
  <c r="E24" i="9"/>
  <c r="F24" i="9"/>
  <c r="G24" i="9"/>
  <c r="J25" i="9"/>
  <c r="K25" i="9"/>
  <c r="R26" i="9"/>
  <c r="L25" i="9"/>
  <c r="S26" i="9"/>
  <c r="Q26" i="9"/>
  <c r="M25" i="9"/>
  <c r="D25" i="9"/>
  <c r="E25" i="9"/>
  <c r="F25" i="9"/>
  <c r="G25" i="9"/>
  <c r="J26" i="9"/>
  <c r="K26" i="9"/>
  <c r="R27" i="9"/>
  <c r="L26" i="9"/>
  <c r="S27" i="9"/>
  <c r="Q27" i="9"/>
  <c r="M26" i="9"/>
  <c r="D26" i="9"/>
  <c r="E26" i="9"/>
  <c r="F26" i="9"/>
  <c r="G26" i="9"/>
  <c r="J27" i="9"/>
  <c r="K27" i="9"/>
  <c r="R28" i="9"/>
  <c r="L27" i="9"/>
  <c r="S28" i="9"/>
  <c r="Q28" i="9"/>
  <c r="M27" i="9"/>
  <c r="D27" i="9"/>
  <c r="E27" i="9"/>
  <c r="F27" i="9"/>
  <c r="G27" i="9"/>
  <c r="J28" i="9"/>
  <c r="K28" i="9"/>
  <c r="R29" i="9"/>
  <c r="L28" i="9"/>
  <c r="S29" i="9"/>
  <c r="Q29" i="9"/>
  <c r="M28" i="9"/>
  <c r="D28" i="9"/>
  <c r="E28" i="9"/>
  <c r="F28" i="9"/>
  <c r="G28" i="9"/>
  <c r="J29" i="9"/>
  <c r="K29" i="9"/>
  <c r="R30" i="9"/>
  <c r="L29" i="9"/>
  <c r="S30" i="9"/>
  <c r="Q30" i="9"/>
  <c r="M29" i="9"/>
  <c r="D29" i="9"/>
  <c r="E29" i="9"/>
  <c r="F29" i="9"/>
  <c r="G29" i="9"/>
  <c r="J30" i="9"/>
  <c r="K30" i="9"/>
  <c r="R31" i="9"/>
  <c r="L30" i="9"/>
  <c r="S31" i="9"/>
  <c r="Q31" i="9"/>
  <c r="M30" i="9"/>
  <c r="D30" i="9"/>
  <c r="E30" i="9"/>
  <c r="F30" i="9"/>
  <c r="G30" i="9"/>
  <c r="J31" i="9"/>
  <c r="K31" i="9"/>
  <c r="R32" i="9"/>
  <c r="L31" i="9"/>
  <c r="S32" i="9"/>
  <c r="Q32" i="9"/>
  <c r="M31" i="9"/>
  <c r="D31" i="9"/>
  <c r="E31" i="9"/>
  <c r="F31" i="9"/>
  <c r="G31" i="9"/>
  <c r="J32" i="9"/>
  <c r="K32" i="9"/>
  <c r="R33" i="9"/>
  <c r="L32" i="9"/>
  <c r="S33" i="9"/>
  <c r="Q33" i="9"/>
  <c r="M32" i="9"/>
  <c r="D32" i="9"/>
  <c r="E32" i="9"/>
  <c r="F32" i="9"/>
  <c r="G32" i="9"/>
  <c r="J33" i="9"/>
  <c r="K33" i="9"/>
  <c r="R34" i="9"/>
  <c r="L33" i="9"/>
  <c r="S34" i="9"/>
  <c r="Q34" i="9"/>
  <c r="M33" i="9"/>
  <c r="D33" i="9"/>
  <c r="E33" i="9"/>
  <c r="F33" i="9"/>
  <c r="G33" i="9"/>
  <c r="J34" i="9"/>
  <c r="K34" i="9"/>
  <c r="R35" i="9"/>
  <c r="L34" i="9"/>
  <c r="S35" i="9"/>
  <c r="Q35" i="9"/>
  <c r="M34" i="9"/>
  <c r="D34" i="9"/>
  <c r="E34" i="9"/>
  <c r="F34" i="9"/>
  <c r="G34" i="9"/>
  <c r="J35" i="9"/>
  <c r="K35" i="9"/>
  <c r="R36" i="9"/>
  <c r="L35" i="9"/>
  <c r="S36" i="9"/>
  <c r="Q36" i="9"/>
  <c r="M35" i="9"/>
  <c r="D35" i="9"/>
  <c r="E35" i="9"/>
  <c r="F35" i="9"/>
  <c r="G35" i="9"/>
  <c r="J36" i="9"/>
  <c r="K36" i="9"/>
  <c r="R37" i="9"/>
  <c r="L36" i="9"/>
  <c r="S37" i="9"/>
  <c r="Q37" i="9"/>
  <c r="M36" i="9"/>
  <c r="D36" i="9"/>
  <c r="E36" i="9"/>
  <c r="F36" i="9"/>
  <c r="G36" i="9"/>
  <c r="J37" i="9"/>
  <c r="K37" i="9"/>
  <c r="R38" i="9"/>
  <c r="L37" i="9"/>
  <c r="S38" i="9"/>
  <c r="Q38" i="9"/>
  <c r="M37" i="9"/>
  <c r="D37" i="9"/>
  <c r="E37" i="9"/>
  <c r="F37" i="9"/>
  <c r="G37" i="9"/>
  <c r="J38" i="9"/>
  <c r="K38" i="9"/>
  <c r="R39" i="9"/>
  <c r="L38" i="9"/>
  <c r="S39" i="9"/>
  <c r="Q39" i="9"/>
  <c r="M38" i="9"/>
  <c r="D38" i="9"/>
  <c r="E38" i="9"/>
  <c r="F38" i="9"/>
  <c r="G38" i="9"/>
  <c r="J39" i="9"/>
  <c r="K39" i="9"/>
  <c r="R40" i="9"/>
  <c r="L39" i="9"/>
  <c r="S40" i="9"/>
  <c r="Q40" i="9"/>
  <c r="M39" i="9"/>
  <c r="D39" i="9"/>
  <c r="E39" i="9"/>
  <c r="F39" i="9"/>
  <c r="G39" i="9"/>
  <c r="J40" i="9"/>
  <c r="K40" i="9"/>
  <c r="R41" i="9"/>
  <c r="L40" i="9"/>
  <c r="S41" i="9"/>
  <c r="Q41" i="9"/>
  <c r="M40" i="9"/>
  <c r="D40" i="9"/>
  <c r="E40" i="9"/>
  <c r="F40" i="9"/>
  <c r="G40" i="9"/>
  <c r="J41" i="9"/>
  <c r="K41" i="9"/>
  <c r="R42" i="9"/>
  <c r="L41" i="9"/>
  <c r="S42" i="9"/>
  <c r="Q42" i="9"/>
  <c r="M41" i="9"/>
  <c r="D41" i="9"/>
  <c r="E41" i="9"/>
  <c r="F41" i="9"/>
  <c r="G41" i="9"/>
  <c r="J42" i="9"/>
  <c r="K42" i="9"/>
  <c r="R43" i="9"/>
  <c r="L42" i="9"/>
  <c r="S43" i="9"/>
  <c r="Q43" i="9"/>
  <c r="M42" i="9"/>
  <c r="D42" i="9"/>
  <c r="E42" i="9"/>
  <c r="F42" i="9"/>
  <c r="G42" i="9"/>
  <c r="J43" i="9"/>
  <c r="K43" i="9"/>
  <c r="R44" i="9"/>
  <c r="L43" i="9"/>
  <c r="S44" i="9"/>
  <c r="Q44" i="9"/>
  <c r="M43" i="9"/>
  <c r="D43" i="9"/>
  <c r="E43" i="9"/>
  <c r="F43" i="9"/>
  <c r="G43" i="9"/>
  <c r="J44" i="9"/>
  <c r="K44" i="9"/>
  <c r="R45" i="9"/>
  <c r="L44" i="9"/>
  <c r="S45" i="9"/>
  <c r="Q45" i="9"/>
  <c r="M44" i="9"/>
  <c r="D44" i="9"/>
  <c r="E44" i="9"/>
  <c r="F44" i="9"/>
  <c r="G44" i="9"/>
  <c r="J45" i="9"/>
  <c r="K45" i="9"/>
  <c r="R46" i="9"/>
  <c r="L45" i="9"/>
  <c r="S46" i="9"/>
  <c r="Q46" i="9"/>
  <c r="M45" i="9"/>
  <c r="D45" i="9"/>
  <c r="E45" i="9"/>
  <c r="F45" i="9"/>
  <c r="G45" i="9"/>
  <c r="J46" i="9"/>
  <c r="K46" i="9"/>
  <c r="R47" i="9"/>
  <c r="L46" i="9"/>
  <c r="S47" i="9"/>
  <c r="Q47" i="9"/>
  <c r="M46" i="9"/>
  <c r="D46" i="9"/>
  <c r="E46" i="9"/>
  <c r="F46" i="9"/>
  <c r="G46" i="9"/>
  <c r="J47" i="9"/>
  <c r="K47" i="9"/>
  <c r="R48" i="9"/>
  <c r="L47" i="9"/>
  <c r="S48" i="9"/>
  <c r="Q48" i="9"/>
  <c r="M47" i="9"/>
  <c r="D47" i="9"/>
  <c r="E47" i="9"/>
  <c r="F47" i="9"/>
  <c r="G47" i="9"/>
  <c r="J48" i="9"/>
  <c r="K48" i="9"/>
  <c r="R49" i="9"/>
  <c r="L48" i="9"/>
  <c r="S49" i="9"/>
  <c r="Q49" i="9"/>
  <c r="M48" i="9"/>
  <c r="D48" i="9"/>
  <c r="E48" i="9"/>
  <c r="F48" i="9"/>
  <c r="G48" i="9"/>
  <c r="J49" i="9"/>
  <c r="K49" i="9"/>
  <c r="R50" i="9"/>
  <c r="L49" i="9"/>
  <c r="S50" i="9"/>
  <c r="Q50" i="9"/>
  <c r="M49" i="9"/>
  <c r="D49" i="9"/>
  <c r="E49" i="9"/>
  <c r="F49" i="9"/>
  <c r="G49" i="9"/>
  <c r="J50" i="9"/>
  <c r="K50" i="9"/>
  <c r="R51" i="9"/>
  <c r="L50" i="9"/>
  <c r="S51" i="9"/>
  <c r="Q51" i="9"/>
  <c r="M50" i="9"/>
  <c r="D50" i="9"/>
  <c r="E50" i="9"/>
  <c r="F50" i="9"/>
  <c r="G50" i="9"/>
  <c r="J51" i="9"/>
  <c r="K51" i="9"/>
  <c r="R52" i="9"/>
  <c r="L51" i="9"/>
  <c r="S52" i="9"/>
  <c r="Q52" i="9"/>
  <c r="M51" i="9"/>
  <c r="D51" i="9"/>
  <c r="E51" i="9"/>
  <c r="F51" i="9"/>
  <c r="G51" i="9"/>
  <c r="J52" i="9"/>
  <c r="K52" i="9"/>
  <c r="R53" i="9"/>
  <c r="L52" i="9"/>
  <c r="S53" i="9"/>
  <c r="Q53" i="9"/>
  <c r="M52" i="9"/>
  <c r="D52" i="9"/>
  <c r="E52" i="9"/>
  <c r="F52" i="9"/>
  <c r="G52" i="9"/>
  <c r="J53" i="9"/>
  <c r="K53" i="9"/>
  <c r="R54" i="9"/>
  <c r="L53" i="9"/>
  <c r="S54" i="9"/>
  <c r="Q54" i="9"/>
  <c r="M53" i="9"/>
  <c r="D53" i="9"/>
  <c r="E53" i="9"/>
  <c r="F53" i="9"/>
  <c r="G53" i="9"/>
  <c r="J54" i="9"/>
  <c r="K54" i="9"/>
  <c r="R55" i="9"/>
  <c r="L54" i="9"/>
  <c r="S55" i="9"/>
  <c r="Q55" i="9"/>
  <c r="M54" i="9"/>
  <c r="D54" i="9"/>
  <c r="E54" i="9"/>
  <c r="F54" i="9"/>
  <c r="G54" i="9"/>
  <c r="J55" i="9"/>
  <c r="K55" i="9"/>
  <c r="R56" i="9"/>
  <c r="L55" i="9"/>
  <c r="S56" i="9"/>
  <c r="Q56" i="9"/>
  <c r="M55" i="9"/>
  <c r="D55" i="9"/>
  <c r="E55" i="9"/>
  <c r="F55" i="9"/>
  <c r="G55" i="9"/>
  <c r="J56" i="9"/>
  <c r="K56" i="9"/>
  <c r="R57" i="9"/>
  <c r="L56" i="9"/>
  <c r="S57" i="9"/>
  <c r="Q57" i="9"/>
  <c r="M56" i="9"/>
  <c r="D56" i="9"/>
  <c r="E56" i="9"/>
  <c r="F56" i="9"/>
  <c r="G56" i="9"/>
  <c r="J57" i="9"/>
  <c r="K57" i="9"/>
  <c r="R58" i="9"/>
  <c r="L57" i="9"/>
  <c r="S58" i="9"/>
  <c r="Q58" i="9"/>
  <c r="M57" i="9"/>
  <c r="D57" i="9"/>
  <c r="E57" i="9"/>
  <c r="F57" i="9"/>
  <c r="G57" i="9"/>
  <c r="J58" i="9"/>
  <c r="K58" i="9"/>
  <c r="R59" i="9"/>
  <c r="L58" i="9"/>
  <c r="S59" i="9"/>
  <c r="Q59" i="9"/>
  <c r="M58" i="9"/>
  <c r="D58" i="9"/>
  <c r="E58" i="9"/>
  <c r="F58" i="9"/>
  <c r="G58" i="9"/>
  <c r="J59" i="9"/>
  <c r="K59" i="9"/>
  <c r="R60" i="9"/>
  <c r="L59" i="9"/>
  <c r="S60" i="9"/>
  <c r="Q60" i="9"/>
  <c r="M59" i="9"/>
  <c r="D59" i="9"/>
  <c r="E59" i="9"/>
  <c r="F59" i="9"/>
  <c r="G59" i="9"/>
  <c r="J60" i="9"/>
  <c r="K60" i="9"/>
  <c r="R61" i="9"/>
  <c r="L60" i="9"/>
  <c r="S61" i="9"/>
  <c r="Q61" i="9"/>
  <c r="M60" i="9"/>
  <c r="D60" i="9"/>
  <c r="E60" i="9"/>
  <c r="F60" i="9"/>
  <c r="G60" i="9"/>
  <c r="J61" i="9"/>
  <c r="K61" i="9"/>
  <c r="R62" i="9"/>
  <c r="L61" i="9"/>
  <c r="S62" i="9"/>
  <c r="Q62" i="9"/>
  <c r="M61" i="9"/>
  <c r="D61" i="9"/>
  <c r="E61" i="9"/>
  <c r="F61" i="9"/>
  <c r="G61" i="9"/>
  <c r="J62" i="9"/>
  <c r="K62" i="9"/>
  <c r="R63" i="9"/>
  <c r="L62" i="9"/>
  <c r="S63" i="9"/>
  <c r="Q63" i="9"/>
  <c r="M62" i="9"/>
  <c r="D62" i="9"/>
  <c r="E62" i="9"/>
  <c r="F62" i="9"/>
  <c r="G62" i="9"/>
  <c r="J63" i="9"/>
  <c r="K63" i="9"/>
  <c r="R64" i="9"/>
  <c r="L63" i="9"/>
  <c r="S64" i="9"/>
  <c r="Q64" i="9"/>
  <c r="M63" i="9"/>
  <c r="D63" i="9"/>
  <c r="E63" i="9"/>
  <c r="F63" i="9"/>
  <c r="G63" i="9"/>
  <c r="J64" i="9"/>
  <c r="K64" i="9"/>
  <c r="R65" i="9"/>
  <c r="L64" i="9"/>
  <c r="S65" i="9"/>
  <c r="Q65" i="9"/>
  <c r="M64" i="9"/>
  <c r="D64" i="9"/>
  <c r="E64" i="9"/>
  <c r="F64" i="9"/>
  <c r="G64" i="9"/>
  <c r="J65" i="9"/>
  <c r="K65" i="9"/>
  <c r="R66" i="9"/>
  <c r="L65" i="9"/>
  <c r="S66" i="9"/>
  <c r="Q66" i="9"/>
  <c r="M65" i="9"/>
  <c r="D65" i="9"/>
  <c r="E65" i="9"/>
  <c r="F65" i="9"/>
  <c r="G65" i="9"/>
  <c r="J66" i="9"/>
  <c r="K66" i="9"/>
  <c r="R67" i="9"/>
  <c r="L66" i="9"/>
  <c r="S67" i="9"/>
  <c r="Q67" i="9"/>
  <c r="M66" i="9"/>
  <c r="D66" i="9"/>
  <c r="E66" i="9"/>
  <c r="F66" i="9"/>
  <c r="G66" i="9"/>
  <c r="J67" i="9"/>
  <c r="K67" i="9"/>
  <c r="R68" i="9"/>
  <c r="L67" i="9"/>
  <c r="S68" i="9"/>
  <c r="Q68" i="9"/>
  <c r="M67" i="9"/>
  <c r="D67" i="9"/>
  <c r="E67" i="9"/>
  <c r="F67" i="9"/>
  <c r="G67" i="9"/>
  <c r="J68" i="9"/>
  <c r="K68" i="9"/>
  <c r="R69" i="9"/>
  <c r="L68" i="9"/>
  <c r="S69" i="9"/>
  <c r="Q69" i="9"/>
  <c r="M68" i="9"/>
  <c r="D68" i="9"/>
  <c r="E68" i="9"/>
  <c r="F68" i="9"/>
  <c r="G68" i="9"/>
  <c r="J69" i="9"/>
  <c r="K69" i="9"/>
  <c r="R70" i="9"/>
  <c r="L69" i="9"/>
  <c r="S70" i="9"/>
  <c r="Q70" i="9"/>
  <c r="M69" i="9"/>
  <c r="D69" i="9"/>
  <c r="E69" i="9"/>
  <c r="F69" i="9"/>
  <c r="G69" i="9"/>
  <c r="J70" i="9"/>
  <c r="K70" i="9"/>
  <c r="R71" i="9"/>
  <c r="L70" i="9"/>
  <c r="S71" i="9"/>
  <c r="Q71" i="9"/>
  <c r="M70" i="9"/>
  <c r="D70" i="9"/>
  <c r="E70" i="9"/>
  <c r="F70" i="9"/>
  <c r="G70" i="9"/>
  <c r="J71" i="9"/>
  <c r="K71" i="9"/>
  <c r="R72" i="9"/>
  <c r="L71" i="9"/>
  <c r="S72" i="9"/>
  <c r="Q72" i="9"/>
  <c r="M71" i="9"/>
  <c r="D71" i="9"/>
  <c r="E71" i="9"/>
  <c r="F71" i="9"/>
  <c r="G71" i="9"/>
  <c r="J72" i="9"/>
  <c r="K72" i="9"/>
  <c r="R73" i="9"/>
  <c r="L72" i="9"/>
  <c r="S73" i="9"/>
  <c r="Q73" i="9"/>
  <c r="M72" i="9"/>
  <c r="D72" i="9"/>
  <c r="E72" i="9"/>
  <c r="F72" i="9"/>
  <c r="G72" i="9"/>
  <c r="J73" i="9"/>
  <c r="K73" i="9"/>
  <c r="R74" i="9"/>
  <c r="L73" i="9"/>
  <c r="S74" i="9"/>
  <c r="Q74" i="9"/>
  <c r="M73" i="9"/>
  <c r="D73" i="9"/>
  <c r="E73" i="9"/>
  <c r="F73" i="9"/>
  <c r="G73" i="9"/>
  <c r="J74" i="9"/>
  <c r="K74" i="9"/>
  <c r="R75" i="9"/>
  <c r="L74" i="9"/>
  <c r="S75" i="9"/>
  <c r="Q75" i="9"/>
  <c r="M74" i="9"/>
  <c r="D74" i="9"/>
  <c r="E74" i="9"/>
  <c r="F74" i="9"/>
  <c r="G74" i="9"/>
  <c r="J75" i="9"/>
  <c r="K75" i="9"/>
  <c r="R76" i="9"/>
  <c r="L75" i="9"/>
  <c r="S76" i="9"/>
  <c r="Q76" i="9"/>
  <c r="M75" i="9"/>
  <c r="D75" i="9"/>
  <c r="E75" i="9"/>
  <c r="F75" i="9"/>
  <c r="G75" i="9"/>
  <c r="J76" i="9"/>
  <c r="K76" i="9"/>
  <c r="R77" i="9"/>
  <c r="L76" i="9"/>
  <c r="S77" i="9"/>
  <c r="Q77" i="9"/>
  <c r="M76" i="9"/>
  <c r="D76" i="9"/>
  <c r="E76" i="9"/>
  <c r="F76" i="9"/>
  <c r="G76" i="9"/>
  <c r="J77" i="9"/>
  <c r="K77" i="9"/>
  <c r="R78" i="9"/>
  <c r="L77" i="9"/>
  <c r="S78" i="9"/>
  <c r="Q78" i="9"/>
  <c r="M77" i="9"/>
  <c r="D77" i="9"/>
  <c r="E77" i="9"/>
  <c r="F77" i="9"/>
  <c r="G77" i="9"/>
  <c r="J78" i="9"/>
  <c r="K78" i="9"/>
  <c r="R79" i="9"/>
  <c r="L78" i="9"/>
  <c r="S79" i="9"/>
  <c r="Q79" i="9"/>
  <c r="M78" i="9"/>
  <c r="D78" i="9"/>
  <c r="E78" i="9"/>
  <c r="F78" i="9"/>
  <c r="G78" i="9"/>
  <c r="J79" i="9"/>
  <c r="K79" i="9"/>
  <c r="R80" i="9"/>
  <c r="L79" i="9"/>
  <c r="S80" i="9"/>
  <c r="Q80" i="9"/>
  <c r="M79" i="9"/>
  <c r="D79" i="9"/>
  <c r="E79" i="9"/>
  <c r="F79" i="9"/>
  <c r="G79" i="9"/>
  <c r="J80" i="9"/>
  <c r="K80" i="9"/>
  <c r="R81" i="9"/>
  <c r="L80" i="9"/>
  <c r="S81" i="9"/>
  <c r="Q81" i="9"/>
  <c r="M80" i="9"/>
  <c r="D80" i="9"/>
  <c r="E80" i="9"/>
  <c r="F80" i="9"/>
  <c r="G80" i="9"/>
  <c r="J81" i="9"/>
  <c r="K81" i="9"/>
  <c r="R82" i="9"/>
  <c r="L81" i="9"/>
  <c r="S82" i="9"/>
  <c r="Q82" i="9"/>
  <c r="M81" i="9"/>
  <c r="D81" i="9"/>
  <c r="E81" i="9"/>
  <c r="F81" i="9"/>
  <c r="G81" i="9"/>
  <c r="J82" i="9"/>
  <c r="K82" i="9"/>
  <c r="R83" i="9"/>
  <c r="L82" i="9"/>
  <c r="S83" i="9"/>
  <c r="Q83" i="9"/>
  <c r="M82" i="9"/>
  <c r="D82" i="9"/>
  <c r="E82" i="9"/>
  <c r="F82" i="9"/>
  <c r="G82" i="9"/>
  <c r="J83" i="9"/>
  <c r="K83" i="9"/>
  <c r="R84" i="9"/>
  <c r="L83" i="9"/>
  <c r="S84" i="9"/>
  <c r="Q84" i="9"/>
  <c r="M83" i="9"/>
  <c r="D83" i="9"/>
  <c r="E83" i="9"/>
  <c r="F83" i="9"/>
  <c r="G83" i="9"/>
  <c r="J84" i="9"/>
  <c r="K84" i="9"/>
  <c r="R85" i="9"/>
  <c r="L84" i="9"/>
  <c r="S85" i="9"/>
  <c r="Q85" i="9"/>
  <c r="M84" i="9"/>
  <c r="D84" i="9"/>
  <c r="E84" i="9"/>
  <c r="F84" i="9"/>
  <c r="G84" i="9"/>
  <c r="J85" i="9"/>
  <c r="K85" i="9"/>
  <c r="R86" i="9"/>
  <c r="L85" i="9"/>
  <c r="S86" i="9"/>
  <c r="Q86" i="9"/>
  <c r="M85" i="9"/>
  <c r="D85" i="9"/>
  <c r="E85" i="9"/>
  <c r="F85" i="9"/>
  <c r="G85" i="9"/>
  <c r="J86" i="9"/>
  <c r="K86" i="9"/>
  <c r="R87" i="9"/>
  <c r="L86" i="9"/>
  <c r="S87" i="9"/>
  <c r="Q87" i="9"/>
  <c r="M86" i="9"/>
  <c r="D86" i="9"/>
  <c r="E86" i="9"/>
  <c r="F86" i="9"/>
  <c r="G86" i="9"/>
  <c r="J87" i="9"/>
  <c r="K87" i="9"/>
  <c r="R88" i="9"/>
  <c r="L87" i="9"/>
  <c r="S88" i="9"/>
  <c r="Q88" i="9"/>
  <c r="M87" i="9"/>
  <c r="D87" i="9"/>
  <c r="E87" i="9"/>
  <c r="F87" i="9"/>
  <c r="G87" i="9"/>
  <c r="J88" i="9"/>
  <c r="K88" i="9"/>
  <c r="R89" i="9"/>
  <c r="L88" i="9"/>
  <c r="S89" i="9"/>
  <c r="Q89" i="9"/>
  <c r="M88" i="9"/>
  <c r="D88" i="9"/>
  <c r="E88" i="9"/>
  <c r="F88" i="9"/>
  <c r="G88" i="9"/>
  <c r="J89" i="9"/>
  <c r="K89" i="9"/>
  <c r="R90" i="9"/>
  <c r="L89" i="9"/>
  <c r="S90" i="9"/>
  <c r="Q90" i="9"/>
  <c r="M89" i="9"/>
  <c r="D89" i="9"/>
  <c r="E89" i="9"/>
  <c r="F89" i="9"/>
  <c r="G89" i="9"/>
  <c r="J90" i="9"/>
  <c r="K90" i="9"/>
  <c r="R91" i="9"/>
  <c r="L90" i="9"/>
  <c r="S91" i="9"/>
  <c r="Q91" i="9"/>
  <c r="M90" i="9"/>
  <c r="D90" i="9"/>
  <c r="E90" i="9"/>
  <c r="F90" i="9"/>
  <c r="G90" i="9"/>
  <c r="J91" i="9"/>
  <c r="K91" i="9"/>
  <c r="R92" i="9"/>
  <c r="L91" i="9"/>
  <c r="S92" i="9"/>
  <c r="Q92" i="9"/>
  <c r="M91" i="9"/>
  <c r="D91" i="9"/>
  <c r="E91" i="9"/>
  <c r="F91" i="9"/>
  <c r="G91" i="9"/>
  <c r="J92" i="9"/>
  <c r="K92" i="9"/>
  <c r="R93" i="9"/>
  <c r="L92" i="9"/>
  <c r="S93" i="9"/>
  <c r="Q93" i="9"/>
  <c r="M92" i="9"/>
  <c r="D92" i="9"/>
  <c r="E92" i="9"/>
  <c r="F92" i="9"/>
  <c r="G92" i="9"/>
  <c r="J93" i="9"/>
  <c r="K93" i="9"/>
  <c r="R94" i="9"/>
  <c r="L93" i="9"/>
  <c r="S94" i="9"/>
  <c r="Q94" i="9"/>
  <c r="M93" i="9"/>
  <c r="D93" i="9"/>
  <c r="E93" i="9"/>
  <c r="F93" i="9"/>
  <c r="G93" i="9"/>
  <c r="J94" i="9"/>
  <c r="K94" i="9"/>
  <c r="R95" i="9"/>
  <c r="L94" i="9"/>
  <c r="S95" i="9"/>
  <c r="Q95" i="9"/>
  <c r="M94" i="9"/>
  <c r="D94" i="9"/>
  <c r="E94" i="9"/>
  <c r="F94" i="9"/>
  <c r="G94" i="9"/>
  <c r="J95" i="9"/>
  <c r="K95" i="9"/>
  <c r="R96" i="9"/>
  <c r="L95" i="9"/>
  <c r="S96" i="9"/>
  <c r="Q96" i="9"/>
  <c r="M95" i="9"/>
  <c r="D95" i="9"/>
  <c r="E95" i="9"/>
  <c r="F95" i="9"/>
  <c r="G95" i="9"/>
  <c r="J96" i="9"/>
  <c r="K96" i="9"/>
  <c r="R97" i="9"/>
  <c r="L96" i="9"/>
  <c r="S97" i="9"/>
  <c r="Q97" i="9"/>
  <c r="M96" i="9"/>
  <c r="D96" i="9"/>
  <c r="E96" i="9"/>
  <c r="F96" i="9"/>
  <c r="G96" i="9"/>
  <c r="J97" i="9"/>
  <c r="K97" i="9"/>
  <c r="R98" i="9"/>
  <c r="L97" i="9"/>
  <c r="S98" i="9"/>
  <c r="Q98" i="9"/>
  <c r="M97" i="9"/>
  <c r="D97" i="9"/>
  <c r="E97" i="9"/>
  <c r="F97" i="9"/>
  <c r="G97" i="9"/>
  <c r="J98" i="9"/>
  <c r="K98" i="9"/>
  <c r="R99" i="9"/>
  <c r="L98" i="9"/>
  <c r="S99" i="9"/>
  <c r="Q99" i="9"/>
  <c r="M98" i="9"/>
  <c r="D98" i="9"/>
  <c r="E98" i="9"/>
  <c r="F98" i="9"/>
  <c r="G98" i="9"/>
  <c r="J99" i="9"/>
  <c r="K99" i="9"/>
  <c r="R100" i="9"/>
  <c r="L99" i="9"/>
  <c r="S100" i="9"/>
  <c r="Q100" i="9"/>
  <c r="M99" i="9"/>
  <c r="D99" i="9"/>
  <c r="E99" i="9"/>
  <c r="F99" i="9"/>
  <c r="G99" i="9"/>
  <c r="J100" i="9"/>
  <c r="K100" i="9"/>
  <c r="R101" i="9"/>
  <c r="L100" i="9"/>
  <c r="S101" i="9"/>
  <c r="Q101" i="9"/>
  <c r="M100" i="9"/>
  <c r="D100" i="9"/>
  <c r="E100" i="9"/>
  <c r="F100" i="9"/>
  <c r="G100" i="9"/>
  <c r="J101" i="9"/>
  <c r="K101" i="9"/>
  <c r="R102" i="9"/>
  <c r="L101" i="9"/>
  <c r="S102" i="9"/>
  <c r="Q102" i="9"/>
  <c r="M101" i="9"/>
  <c r="D101" i="9"/>
  <c r="E101" i="9"/>
  <c r="F101" i="9"/>
  <c r="G101" i="9"/>
  <c r="J102" i="9"/>
  <c r="K102" i="9"/>
  <c r="R103" i="9"/>
  <c r="L102" i="9"/>
  <c r="S103" i="9"/>
  <c r="Q103" i="9"/>
  <c r="M102" i="9"/>
  <c r="D102" i="9"/>
  <c r="E102" i="9"/>
  <c r="F102" i="9"/>
  <c r="G102" i="9"/>
  <c r="J103" i="9"/>
  <c r="K103" i="9"/>
  <c r="R104" i="9"/>
  <c r="L103" i="9"/>
  <c r="S104" i="9"/>
  <c r="Q104" i="9"/>
  <c r="M103" i="9"/>
  <c r="D103" i="9"/>
  <c r="E103" i="9"/>
  <c r="F103" i="9"/>
  <c r="G103" i="9"/>
  <c r="J104" i="9"/>
  <c r="K104" i="9"/>
  <c r="R105" i="9"/>
  <c r="L104" i="9"/>
  <c r="S105" i="9"/>
  <c r="Q105" i="9"/>
  <c r="M104" i="9"/>
  <c r="D104" i="9"/>
  <c r="E104" i="9"/>
  <c r="F104" i="9"/>
  <c r="G104" i="9"/>
  <c r="J105" i="9"/>
  <c r="K105" i="9"/>
  <c r="R106" i="9"/>
  <c r="L105" i="9"/>
  <c r="S106" i="9"/>
  <c r="Q106" i="9"/>
  <c r="M105" i="9"/>
  <c r="D105" i="9"/>
  <c r="E105" i="9"/>
  <c r="F105" i="9"/>
  <c r="G105" i="9"/>
  <c r="J106" i="9"/>
  <c r="K106" i="9"/>
  <c r="R107" i="9"/>
  <c r="L106" i="9"/>
  <c r="S107" i="9"/>
  <c r="Q107" i="9"/>
  <c r="M106" i="9"/>
  <c r="D106" i="9"/>
  <c r="E106" i="9"/>
  <c r="F106" i="9"/>
  <c r="G106" i="9"/>
  <c r="J107" i="9"/>
  <c r="K107" i="9"/>
  <c r="R108" i="9"/>
  <c r="L107" i="9"/>
  <c r="S108" i="9"/>
  <c r="Q108" i="9"/>
  <c r="M107" i="9"/>
  <c r="D107" i="9"/>
  <c r="E107" i="9"/>
  <c r="F107" i="9"/>
  <c r="G107" i="9"/>
  <c r="J108" i="9"/>
  <c r="K108" i="9"/>
  <c r="R109" i="9"/>
  <c r="L108" i="9"/>
  <c r="S109" i="9"/>
  <c r="Q109" i="9"/>
  <c r="M108" i="9"/>
  <c r="D108" i="9"/>
  <c r="E108" i="9"/>
  <c r="F108" i="9"/>
  <c r="G108" i="9"/>
  <c r="J109" i="9"/>
  <c r="K109" i="9"/>
  <c r="R110" i="9"/>
  <c r="L109" i="9"/>
  <c r="S110" i="9"/>
  <c r="Q110" i="9"/>
  <c r="M109" i="9"/>
  <c r="D109" i="9"/>
  <c r="E109" i="9"/>
  <c r="F109" i="9"/>
  <c r="G109" i="9"/>
  <c r="J110" i="9"/>
  <c r="K110" i="9"/>
  <c r="R111" i="9"/>
  <c r="L110" i="9"/>
  <c r="S111" i="9"/>
  <c r="Q111" i="9"/>
  <c r="M110" i="9"/>
  <c r="D110" i="9"/>
  <c r="E110" i="9"/>
  <c r="F110" i="9"/>
  <c r="G110" i="9"/>
  <c r="J111" i="9"/>
  <c r="K111" i="9"/>
  <c r="R112" i="9"/>
  <c r="L111" i="9"/>
  <c r="S112" i="9"/>
  <c r="Q112" i="9"/>
  <c r="M111" i="9"/>
  <c r="D111" i="9"/>
  <c r="E111" i="9"/>
  <c r="F111" i="9"/>
  <c r="G111" i="9"/>
  <c r="J112" i="9"/>
  <c r="K112" i="9"/>
  <c r="R113" i="9"/>
  <c r="L112" i="9"/>
  <c r="S113" i="9"/>
  <c r="Q113" i="9"/>
  <c r="M112" i="9"/>
  <c r="D112" i="9"/>
  <c r="E112" i="9"/>
  <c r="F112" i="9"/>
  <c r="G112" i="9"/>
  <c r="J113" i="9"/>
  <c r="K113" i="9"/>
  <c r="R114" i="9"/>
  <c r="L113" i="9"/>
  <c r="S114" i="9"/>
  <c r="Q114" i="9"/>
  <c r="M113" i="9"/>
  <c r="D113" i="9"/>
  <c r="E113" i="9"/>
  <c r="F113" i="9"/>
  <c r="G113" i="9"/>
  <c r="J114" i="9"/>
  <c r="K114" i="9"/>
  <c r="R115" i="9"/>
  <c r="L114" i="9"/>
  <c r="S115" i="9"/>
  <c r="Q115" i="9"/>
  <c r="M114" i="9"/>
  <c r="D114" i="9"/>
  <c r="E114" i="9"/>
  <c r="F114" i="9"/>
  <c r="G114" i="9"/>
  <c r="J115" i="9"/>
  <c r="J16" i="9"/>
  <c r="C16" i="9"/>
  <c r="R3" i="9"/>
  <c r="R5" i="9"/>
  <c r="N6" i="9"/>
  <c r="V6" i="9"/>
  <c r="R2" i="9"/>
  <c r="N8" i="9"/>
  <c r="V8" i="9"/>
  <c r="R4" i="9"/>
  <c r="N5" i="9"/>
  <c r="V5" i="9"/>
  <c r="R1" i="9"/>
  <c r="N4" i="9"/>
  <c r="V4" i="9"/>
  <c r="W10" i="9"/>
  <c r="R12" i="9"/>
  <c r="I16" i="9"/>
  <c r="C17" i="9"/>
  <c r="I17" i="9"/>
  <c r="C18" i="9"/>
  <c r="I18" i="9"/>
  <c r="C19" i="9"/>
  <c r="I19" i="9"/>
  <c r="C20" i="9"/>
  <c r="I20" i="9"/>
  <c r="C21" i="9"/>
  <c r="I21" i="9"/>
  <c r="C22" i="9"/>
  <c r="I22" i="9"/>
  <c r="C23" i="9"/>
  <c r="I23" i="9"/>
  <c r="C24" i="9"/>
  <c r="I24" i="9"/>
  <c r="C25" i="9"/>
  <c r="I25" i="9"/>
  <c r="C26" i="9"/>
  <c r="I26" i="9"/>
  <c r="C27" i="9"/>
  <c r="I27" i="9"/>
  <c r="C28" i="9"/>
  <c r="I28" i="9"/>
  <c r="C29" i="9"/>
  <c r="I29" i="9"/>
  <c r="C30" i="9"/>
  <c r="I30" i="9"/>
  <c r="C31" i="9"/>
  <c r="I31" i="9"/>
  <c r="C32" i="9"/>
  <c r="I32" i="9"/>
  <c r="C33" i="9"/>
  <c r="I33" i="9"/>
  <c r="C34" i="9"/>
  <c r="I34" i="9"/>
  <c r="C35" i="9"/>
  <c r="I35" i="9"/>
  <c r="C36" i="9"/>
  <c r="I36" i="9"/>
  <c r="C37" i="9"/>
  <c r="I37" i="9"/>
  <c r="C38" i="9"/>
  <c r="I38" i="9"/>
  <c r="C39" i="9"/>
  <c r="I39" i="9"/>
  <c r="C40" i="9"/>
  <c r="I40" i="9"/>
  <c r="C41" i="9"/>
  <c r="I41" i="9"/>
  <c r="C42" i="9"/>
  <c r="H42" i="9"/>
  <c r="I42" i="9"/>
  <c r="C43" i="9"/>
  <c r="H43" i="9"/>
  <c r="I43" i="9"/>
  <c r="C44" i="9"/>
  <c r="H44" i="9"/>
  <c r="I44" i="9"/>
  <c r="C45" i="9"/>
  <c r="H45" i="9"/>
  <c r="I45" i="9"/>
  <c r="C46" i="9"/>
  <c r="H46" i="9"/>
  <c r="I46" i="9"/>
  <c r="C47" i="9"/>
  <c r="H47" i="9"/>
  <c r="I47" i="9"/>
  <c r="C48" i="9"/>
  <c r="H48" i="9"/>
  <c r="I48" i="9"/>
  <c r="C49" i="9"/>
  <c r="H49" i="9"/>
  <c r="I49" i="9"/>
  <c r="C50" i="9"/>
  <c r="H50" i="9"/>
  <c r="I50" i="9"/>
  <c r="C51" i="9"/>
  <c r="H51" i="9"/>
  <c r="I51" i="9"/>
  <c r="C52" i="9"/>
  <c r="H52" i="9"/>
  <c r="I52" i="9"/>
  <c r="C53" i="9"/>
  <c r="H53" i="9"/>
  <c r="I53" i="9"/>
  <c r="C54" i="9"/>
  <c r="H54" i="9"/>
  <c r="I54" i="9"/>
  <c r="C55" i="9"/>
  <c r="H55" i="9"/>
  <c r="I55" i="9"/>
  <c r="C56" i="9"/>
  <c r="H56" i="9"/>
  <c r="I56" i="9"/>
  <c r="C57" i="9"/>
  <c r="H57" i="9"/>
  <c r="I57" i="9"/>
  <c r="C58" i="9"/>
  <c r="H58" i="9"/>
  <c r="I58" i="9"/>
  <c r="C59" i="9"/>
  <c r="H59" i="9"/>
  <c r="I59" i="9"/>
  <c r="C60" i="9"/>
  <c r="H60" i="9"/>
  <c r="I60" i="9"/>
  <c r="C61" i="9"/>
  <c r="H61" i="9"/>
  <c r="I61" i="9"/>
  <c r="C62" i="9"/>
  <c r="H62" i="9"/>
  <c r="I62" i="9"/>
  <c r="C63" i="9"/>
  <c r="H63" i="9"/>
  <c r="I63" i="9"/>
  <c r="C64" i="9"/>
  <c r="H64" i="9"/>
  <c r="I64" i="9"/>
  <c r="C65" i="9"/>
  <c r="H65" i="9"/>
  <c r="I65" i="9"/>
  <c r="C66" i="9"/>
  <c r="H66" i="9"/>
  <c r="I66" i="9"/>
  <c r="C67" i="9"/>
  <c r="H67" i="9"/>
  <c r="I67" i="9"/>
  <c r="C68" i="9"/>
  <c r="H68" i="9"/>
  <c r="I68" i="9"/>
  <c r="C69" i="9"/>
  <c r="H69" i="9"/>
  <c r="I69" i="9"/>
  <c r="C70" i="9"/>
  <c r="H70" i="9"/>
  <c r="I70" i="9"/>
  <c r="C71" i="9"/>
  <c r="H71" i="9"/>
  <c r="I71" i="9"/>
  <c r="C72" i="9"/>
  <c r="H72" i="9"/>
  <c r="I72" i="9"/>
  <c r="C73" i="9"/>
  <c r="H73" i="9"/>
  <c r="I73" i="9"/>
  <c r="C74" i="9"/>
  <c r="H74" i="9"/>
  <c r="I74" i="9"/>
  <c r="C75" i="9"/>
  <c r="H75" i="9"/>
  <c r="I75" i="9"/>
  <c r="C76" i="9"/>
  <c r="H76" i="9"/>
  <c r="I76" i="9"/>
  <c r="C77" i="9"/>
  <c r="H77" i="9"/>
  <c r="I77" i="9"/>
  <c r="C78" i="9"/>
  <c r="H78" i="9"/>
  <c r="I78" i="9"/>
  <c r="C79" i="9"/>
  <c r="H79" i="9"/>
  <c r="I79" i="9"/>
  <c r="C80" i="9"/>
  <c r="H80" i="9"/>
  <c r="I80" i="9"/>
  <c r="C81" i="9"/>
  <c r="H81" i="9"/>
  <c r="I81" i="9"/>
  <c r="C82" i="9"/>
  <c r="H82" i="9"/>
  <c r="I82" i="9"/>
  <c r="C83" i="9"/>
  <c r="H83" i="9"/>
  <c r="I83" i="9"/>
  <c r="C84" i="9"/>
  <c r="H84" i="9"/>
  <c r="I84" i="9"/>
  <c r="C85" i="9"/>
  <c r="H85" i="9"/>
  <c r="I85" i="9"/>
  <c r="C86" i="9"/>
  <c r="H86" i="9"/>
  <c r="I86" i="9"/>
  <c r="C87" i="9"/>
  <c r="H87" i="9"/>
  <c r="I87" i="9"/>
  <c r="C88" i="9"/>
  <c r="H88" i="9"/>
  <c r="I88" i="9"/>
  <c r="C89" i="9"/>
  <c r="H89" i="9"/>
  <c r="I89" i="9"/>
  <c r="C90" i="9"/>
  <c r="H90" i="9"/>
  <c r="I90" i="9"/>
  <c r="C91" i="9"/>
  <c r="H91" i="9"/>
  <c r="I91" i="9"/>
  <c r="C92" i="9"/>
  <c r="H92" i="9"/>
  <c r="I92" i="9"/>
  <c r="C93" i="9"/>
  <c r="H93" i="9"/>
  <c r="I93" i="9"/>
  <c r="C94" i="9"/>
  <c r="H94" i="9"/>
  <c r="I94" i="9"/>
  <c r="C95" i="9"/>
  <c r="H95" i="9"/>
  <c r="I95" i="9"/>
  <c r="C96" i="9"/>
  <c r="I96" i="9"/>
  <c r="C97" i="9"/>
  <c r="I97" i="9"/>
  <c r="C98" i="9"/>
  <c r="I98" i="9"/>
  <c r="C99" i="9"/>
  <c r="I99" i="9"/>
  <c r="C100" i="9"/>
  <c r="I100" i="9"/>
  <c r="C101" i="9"/>
  <c r="I101" i="9"/>
  <c r="C102" i="9"/>
  <c r="I102" i="9"/>
  <c r="C103" i="9"/>
  <c r="I103" i="9"/>
  <c r="C104" i="9"/>
  <c r="I104" i="9"/>
  <c r="C105" i="9"/>
  <c r="I105" i="9"/>
  <c r="C106" i="9"/>
  <c r="I106" i="9"/>
  <c r="C107" i="9"/>
  <c r="I107" i="9"/>
  <c r="C108" i="9"/>
  <c r="I108" i="9"/>
  <c r="C109" i="9"/>
  <c r="I109" i="9"/>
  <c r="C110" i="9"/>
  <c r="I110" i="9"/>
  <c r="C111" i="9"/>
  <c r="I111" i="9"/>
  <c r="C112" i="9"/>
  <c r="I112" i="9"/>
  <c r="C113" i="9"/>
  <c r="I113" i="9"/>
  <c r="C114" i="9"/>
  <c r="I114" i="9"/>
  <c r="C115" i="9"/>
  <c r="I115" i="9"/>
  <c r="R16" i="9"/>
  <c r="S16" i="9"/>
  <c r="Q16" i="9"/>
  <c r="R6" i="9"/>
  <c r="N15" i="9"/>
  <c r="V7" i="9"/>
  <c r="S5" i="9"/>
  <c r="M16" i="8"/>
  <c r="N16" i="8"/>
  <c r="L16" i="8"/>
  <c r="E16" i="8"/>
  <c r="F16" i="8"/>
  <c r="M17" i="8"/>
  <c r="D16" i="8"/>
  <c r="G16" i="8"/>
  <c r="N17" i="8"/>
  <c r="L17" i="8"/>
  <c r="E17" i="8"/>
  <c r="F17" i="8"/>
  <c r="D17" i="8"/>
  <c r="G17" i="8"/>
  <c r="N18" i="8"/>
  <c r="M18" i="8"/>
  <c r="L18" i="8"/>
  <c r="E18" i="8"/>
  <c r="F18" i="8"/>
  <c r="D18" i="8"/>
  <c r="G18" i="8"/>
  <c r="M19" i="8"/>
  <c r="N19" i="8"/>
  <c r="L19" i="8"/>
  <c r="E19" i="8"/>
  <c r="F19" i="8"/>
  <c r="D19" i="8"/>
  <c r="G19" i="8"/>
  <c r="M20" i="8"/>
  <c r="N20" i="8"/>
  <c r="L20" i="8"/>
  <c r="E20" i="8"/>
  <c r="F20" i="8"/>
  <c r="D20" i="8"/>
  <c r="G20" i="8"/>
  <c r="M21" i="8"/>
  <c r="N21" i="8"/>
  <c r="L21" i="8"/>
  <c r="E21" i="8"/>
  <c r="F21" i="8"/>
  <c r="D21" i="8"/>
  <c r="G21" i="8"/>
  <c r="M22" i="8"/>
  <c r="N22" i="8"/>
  <c r="L22" i="8"/>
  <c r="E22" i="8"/>
  <c r="F22" i="8"/>
  <c r="D22" i="8"/>
  <c r="G22" i="8"/>
  <c r="M23" i="8"/>
  <c r="N23" i="8"/>
  <c r="L23" i="8"/>
  <c r="E23" i="8"/>
  <c r="F23" i="8"/>
  <c r="D23" i="8"/>
  <c r="G23" i="8"/>
  <c r="M24" i="8"/>
  <c r="N24" i="8"/>
  <c r="L24" i="8"/>
  <c r="E24" i="8"/>
  <c r="F24" i="8"/>
  <c r="D24" i="8"/>
  <c r="G24" i="8"/>
  <c r="M25" i="8"/>
  <c r="N25" i="8"/>
  <c r="L25" i="8"/>
  <c r="E25" i="8"/>
  <c r="F25" i="8"/>
  <c r="D25" i="8"/>
  <c r="G25" i="8"/>
  <c r="M26" i="8"/>
  <c r="N26" i="8"/>
  <c r="L26" i="8"/>
  <c r="E26" i="8"/>
  <c r="F26" i="8"/>
  <c r="D26" i="8"/>
  <c r="G26" i="8"/>
  <c r="M27" i="8"/>
  <c r="N27" i="8"/>
  <c r="L27" i="8"/>
  <c r="E27" i="8"/>
  <c r="F27" i="8"/>
  <c r="D27" i="8"/>
  <c r="G27" i="8"/>
  <c r="M28" i="8"/>
  <c r="N28" i="8"/>
  <c r="L28" i="8"/>
  <c r="E28" i="8"/>
  <c r="F28" i="8"/>
  <c r="D28" i="8"/>
  <c r="G28" i="8"/>
  <c r="M29" i="8"/>
  <c r="N29" i="8"/>
  <c r="L29" i="8"/>
  <c r="E29" i="8"/>
  <c r="F29" i="8"/>
  <c r="D29" i="8"/>
  <c r="G29" i="8"/>
  <c r="M30" i="8"/>
  <c r="N30" i="8"/>
  <c r="L30" i="8"/>
  <c r="E30" i="8"/>
  <c r="F30" i="8"/>
  <c r="D30" i="8"/>
  <c r="G30" i="8"/>
  <c r="M31" i="8"/>
  <c r="N31" i="8"/>
  <c r="L31" i="8"/>
  <c r="E31" i="8"/>
  <c r="F31" i="8"/>
  <c r="D31" i="8"/>
  <c r="G31" i="8"/>
  <c r="M32" i="8"/>
  <c r="N32" i="8"/>
  <c r="L32" i="8"/>
  <c r="E32" i="8"/>
  <c r="F32" i="8"/>
  <c r="D32" i="8"/>
  <c r="G32" i="8"/>
  <c r="M33" i="8"/>
  <c r="N33" i="8"/>
  <c r="L33" i="8"/>
  <c r="E33" i="8"/>
  <c r="F33" i="8"/>
  <c r="D33" i="8"/>
  <c r="G33" i="8"/>
  <c r="M34" i="8"/>
  <c r="N34" i="8"/>
  <c r="L34" i="8"/>
  <c r="E34" i="8"/>
  <c r="F34" i="8"/>
  <c r="D34" i="8"/>
  <c r="G34" i="8"/>
  <c r="M35" i="8"/>
  <c r="N35" i="8"/>
  <c r="L35" i="8"/>
  <c r="E35" i="8"/>
  <c r="F35" i="8"/>
  <c r="D35" i="8"/>
  <c r="G35" i="8"/>
  <c r="M36" i="8"/>
  <c r="N36" i="8"/>
  <c r="L36" i="8"/>
  <c r="E36" i="8"/>
  <c r="F36" i="8"/>
  <c r="D36" i="8"/>
  <c r="G36" i="8"/>
  <c r="M37" i="8"/>
  <c r="N37" i="8"/>
  <c r="L37" i="8"/>
  <c r="E37" i="8"/>
  <c r="F37" i="8"/>
  <c r="D37" i="8"/>
  <c r="G37" i="8"/>
  <c r="M38" i="8"/>
  <c r="N38" i="8"/>
  <c r="L38" i="8"/>
  <c r="E38" i="8"/>
  <c r="F38" i="8"/>
  <c r="D38" i="8"/>
  <c r="G38" i="8"/>
  <c r="M39" i="8"/>
  <c r="N39" i="8"/>
  <c r="L39" i="8"/>
  <c r="E39" i="8"/>
  <c r="F39" i="8"/>
  <c r="D39" i="8"/>
  <c r="G39" i="8"/>
  <c r="M40" i="8"/>
  <c r="N40" i="8"/>
  <c r="L40" i="8"/>
  <c r="E40" i="8"/>
  <c r="F40" i="8"/>
  <c r="D40" i="8"/>
  <c r="G40" i="8"/>
  <c r="M41" i="8"/>
  <c r="N41" i="8"/>
  <c r="L41" i="8"/>
  <c r="E41" i="8"/>
  <c r="F41" i="8"/>
  <c r="D41" i="8"/>
  <c r="G41" i="8"/>
  <c r="M42" i="8"/>
  <c r="N42" i="8"/>
  <c r="L42" i="8"/>
  <c r="E42" i="8"/>
  <c r="F42" i="8"/>
  <c r="D42" i="8"/>
  <c r="G42" i="8"/>
  <c r="M43" i="8"/>
  <c r="N43" i="8"/>
  <c r="L43" i="8"/>
  <c r="E43" i="8"/>
  <c r="F43" i="8"/>
  <c r="D43" i="8"/>
  <c r="G43" i="8"/>
  <c r="M44" i="8"/>
  <c r="N44" i="8"/>
  <c r="L44" i="8"/>
  <c r="E44" i="8"/>
  <c r="F44" i="8"/>
  <c r="D44" i="8"/>
  <c r="G44" i="8"/>
  <c r="M45" i="8"/>
  <c r="N45" i="8"/>
  <c r="L45" i="8"/>
  <c r="E45" i="8"/>
  <c r="F45" i="8"/>
  <c r="D45" i="8"/>
  <c r="G45" i="8"/>
  <c r="M46" i="8"/>
  <c r="N46" i="8"/>
  <c r="L46" i="8"/>
  <c r="E46" i="8"/>
  <c r="F46" i="8"/>
  <c r="D46" i="8"/>
  <c r="G46" i="8"/>
  <c r="M47" i="8"/>
  <c r="N47" i="8"/>
  <c r="L47" i="8"/>
  <c r="E47" i="8"/>
  <c r="F47" i="8"/>
  <c r="D47" i="8"/>
  <c r="G47" i="8"/>
  <c r="M48" i="8"/>
  <c r="N48" i="8"/>
  <c r="L48" i="8"/>
  <c r="E48" i="8"/>
  <c r="F48" i="8"/>
  <c r="D48" i="8"/>
  <c r="G48" i="8"/>
  <c r="M49" i="8"/>
  <c r="N49" i="8"/>
  <c r="L49" i="8"/>
  <c r="E49" i="8"/>
  <c r="F49" i="8"/>
  <c r="D49" i="8"/>
  <c r="G49" i="8"/>
  <c r="M50" i="8"/>
  <c r="N50" i="8"/>
  <c r="L50" i="8"/>
  <c r="E50" i="8"/>
  <c r="F50" i="8"/>
  <c r="D50" i="8"/>
  <c r="G50" i="8"/>
  <c r="M51" i="8"/>
  <c r="N51" i="8"/>
  <c r="L51" i="8"/>
  <c r="E51" i="8"/>
  <c r="F51" i="8"/>
  <c r="D51" i="8"/>
  <c r="G51" i="8"/>
  <c r="M52" i="8"/>
  <c r="N52" i="8"/>
  <c r="L52" i="8"/>
  <c r="E52" i="8"/>
  <c r="F52" i="8"/>
  <c r="D52" i="8"/>
  <c r="G52" i="8"/>
  <c r="M53" i="8"/>
  <c r="N53" i="8"/>
  <c r="L53" i="8"/>
  <c r="E53" i="8"/>
  <c r="F53" i="8"/>
  <c r="D53" i="8"/>
  <c r="G53" i="8"/>
  <c r="M54" i="8"/>
  <c r="N54" i="8"/>
  <c r="L54" i="8"/>
  <c r="E54" i="8"/>
  <c r="F54" i="8"/>
  <c r="D54" i="8"/>
  <c r="G54" i="8"/>
  <c r="M55" i="8"/>
  <c r="N55" i="8"/>
  <c r="L55" i="8"/>
  <c r="E55" i="8"/>
  <c r="F55" i="8"/>
  <c r="D55" i="8"/>
  <c r="G55" i="8"/>
  <c r="M56" i="8"/>
  <c r="N56" i="8"/>
  <c r="L56" i="8"/>
  <c r="E56" i="8"/>
  <c r="F56" i="8"/>
  <c r="D56" i="8"/>
  <c r="G56" i="8"/>
  <c r="M57" i="8"/>
  <c r="N57" i="8"/>
  <c r="L57" i="8"/>
  <c r="E57" i="8"/>
  <c r="F57" i="8"/>
  <c r="D57" i="8"/>
  <c r="G57" i="8"/>
  <c r="M58" i="8"/>
  <c r="N58" i="8"/>
  <c r="L58" i="8"/>
  <c r="E58" i="8"/>
  <c r="F58" i="8"/>
  <c r="D58" i="8"/>
  <c r="G58" i="8"/>
  <c r="M59" i="8"/>
  <c r="N59" i="8"/>
  <c r="L59" i="8"/>
  <c r="E59" i="8"/>
  <c r="F59" i="8"/>
  <c r="D59" i="8"/>
  <c r="G59" i="8"/>
  <c r="M60" i="8"/>
  <c r="N60" i="8"/>
  <c r="L60" i="8"/>
  <c r="E60" i="8"/>
  <c r="F60" i="8"/>
  <c r="D60" i="8"/>
  <c r="G60" i="8"/>
  <c r="M61" i="8"/>
  <c r="N61" i="8"/>
  <c r="L61" i="8"/>
  <c r="E61" i="8"/>
  <c r="F61" i="8"/>
  <c r="D61" i="8"/>
  <c r="G61" i="8"/>
  <c r="M62" i="8"/>
  <c r="N62" i="8"/>
  <c r="L62" i="8"/>
  <c r="E62" i="8"/>
  <c r="F62" i="8"/>
  <c r="D62" i="8"/>
  <c r="G62" i="8"/>
  <c r="M63" i="8"/>
  <c r="N63" i="8"/>
  <c r="L63" i="8"/>
  <c r="E63" i="8"/>
  <c r="F63" i="8"/>
  <c r="D63" i="8"/>
  <c r="G63" i="8"/>
  <c r="M64" i="8"/>
  <c r="N64" i="8"/>
  <c r="L64" i="8"/>
  <c r="E64" i="8"/>
  <c r="F64" i="8"/>
  <c r="D64" i="8"/>
  <c r="G64" i="8"/>
  <c r="M65" i="8"/>
  <c r="N65" i="8"/>
  <c r="L65" i="8"/>
  <c r="E65" i="8"/>
  <c r="F65" i="8"/>
  <c r="D65" i="8"/>
  <c r="G65" i="8"/>
  <c r="M66" i="8"/>
  <c r="N66" i="8"/>
  <c r="L66" i="8"/>
  <c r="E66" i="8"/>
  <c r="F66" i="8"/>
  <c r="D66" i="8"/>
  <c r="G66" i="8"/>
  <c r="M67" i="8"/>
  <c r="N67" i="8"/>
  <c r="L67" i="8"/>
  <c r="E67" i="8"/>
  <c r="F67" i="8"/>
  <c r="D67" i="8"/>
  <c r="G67" i="8"/>
  <c r="M68" i="8"/>
  <c r="N68" i="8"/>
  <c r="L68" i="8"/>
  <c r="E68" i="8"/>
  <c r="F68" i="8"/>
  <c r="D68" i="8"/>
  <c r="G68" i="8"/>
  <c r="M69" i="8"/>
  <c r="N69" i="8"/>
  <c r="L69" i="8"/>
  <c r="E69" i="8"/>
  <c r="F69" i="8"/>
  <c r="D69" i="8"/>
  <c r="G69" i="8"/>
  <c r="M70" i="8"/>
  <c r="N70" i="8"/>
  <c r="L70" i="8"/>
  <c r="E70" i="8"/>
  <c r="F70" i="8"/>
  <c r="D70" i="8"/>
  <c r="G70" i="8"/>
  <c r="M71" i="8"/>
  <c r="N71" i="8"/>
  <c r="L71" i="8"/>
  <c r="E71" i="8"/>
  <c r="F71" i="8"/>
  <c r="D71" i="8"/>
  <c r="G71" i="8"/>
  <c r="M72" i="8"/>
  <c r="N72" i="8"/>
  <c r="L72" i="8"/>
  <c r="E72" i="8"/>
  <c r="F72" i="8"/>
  <c r="D72" i="8"/>
  <c r="G72" i="8"/>
  <c r="M73" i="8"/>
  <c r="N73" i="8"/>
  <c r="L73" i="8"/>
  <c r="E73" i="8"/>
  <c r="F73" i="8"/>
  <c r="D73" i="8"/>
  <c r="G73" i="8"/>
  <c r="M74" i="8"/>
  <c r="N74" i="8"/>
  <c r="L74" i="8"/>
  <c r="E74" i="8"/>
  <c r="F74" i="8"/>
  <c r="D74" i="8"/>
  <c r="G74" i="8"/>
  <c r="M75" i="8"/>
  <c r="N75" i="8"/>
  <c r="L75" i="8"/>
  <c r="E75" i="8"/>
  <c r="F75" i="8"/>
  <c r="D75" i="8"/>
  <c r="G75" i="8"/>
  <c r="M76" i="8"/>
  <c r="N76" i="8"/>
  <c r="L76" i="8"/>
  <c r="E76" i="8"/>
  <c r="F76" i="8"/>
  <c r="D76" i="8"/>
  <c r="G76" i="8"/>
  <c r="M77" i="8"/>
  <c r="N77" i="8"/>
  <c r="L77" i="8"/>
  <c r="E77" i="8"/>
  <c r="F77" i="8"/>
  <c r="D77" i="8"/>
  <c r="G77" i="8"/>
  <c r="M78" i="8"/>
  <c r="N78" i="8"/>
  <c r="L78" i="8"/>
  <c r="E78" i="8"/>
  <c r="F78" i="8"/>
  <c r="D78" i="8"/>
  <c r="G78" i="8"/>
  <c r="M79" i="8"/>
  <c r="N79" i="8"/>
  <c r="L79" i="8"/>
  <c r="E79" i="8"/>
  <c r="F79" i="8"/>
  <c r="D79" i="8"/>
  <c r="G79" i="8"/>
  <c r="M80" i="8"/>
  <c r="N80" i="8"/>
  <c r="L80" i="8"/>
  <c r="E80" i="8"/>
  <c r="F80" i="8"/>
  <c r="D80" i="8"/>
  <c r="G80" i="8"/>
  <c r="M81" i="8"/>
  <c r="N81" i="8"/>
  <c r="L81" i="8"/>
  <c r="E81" i="8"/>
  <c r="F81" i="8"/>
  <c r="D81" i="8"/>
  <c r="G81" i="8"/>
  <c r="M82" i="8"/>
  <c r="N82" i="8"/>
  <c r="L82" i="8"/>
  <c r="E82" i="8"/>
  <c r="F82" i="8"/>
  <c r="D82" i="8"/>
  <c r="G82" i="8"/>
  <c r="M83" i="8"/>
  <c r="N83" i="8"/>
  <c r="L83" i="8"/>
  <c r="E83" i="8"/>
  <c r="F83" i="8"/>
  <c r="D83" i="8"/>
  <c r="G83" i="8"/>
  <c r="M84" i="8"/>
  <c r="N84" i="8"/>
  <c r="L84" i="8"/>
  <c r="E84" i="8"/>
  <c r="F84" i="8"/>
  <c r="D84" i="8"/>
  <c r="G84" i="8"/>
  <c r="M85" i="8"/>
  <c r="N85" i="8"/>
  <c r="L85" i="8"/>
  <c r="E85" i="8"/>
  <c r="F85" i="8"/>
  <c r="D85" i="8"/>
  <c r="G85" i="8"/>
  <c r="M86" i="8"/>
  <c r="N86" i="8"/>
  <c r="L86" i="8"/>
  <c r="E86" i="8"/>
  <c r="F86" i="8"/>
  <c r="D86" i="8"/>
  <c r="G86" i="8"/>
  <c r="M87" i="8"/>
  <c r="N87" i="8"/>
  <c r="L87" i="8"/>
  <c r="E87" i="8"/>
  <c r="F87" i="8"/>
  <c r="D87" i="8"/>
  <c r="G87" i="8"/>
  <c r="M88" i="8"/>
  <c r="N88" i="8"/>
  <c r="L88" i="8"/>
  <c r="E88" i="8"/>
  <c r="F88" i="8"/>
  <c r="D88" i="8"/>
  <c r="G88" i="8"/>
  <c r="M89" i="8"/>
  <c r="N89" i="8"/>
  <c r="L89" i="8"/>
  <c r="E89" i="8"/>
  <c r="F89" i="8"/>
  <c r="D89" i="8"/>
  <c r="G89" i="8"/>
  <c r="M90" i="8"/>
  <c r="N90" i="8"/>
  <c r="L90" i="8"/>
  <c r="E90" i="8"/>
  <c r="F90" i="8"/>
  <c r="D90" i="8"/>
  <c r="G90" i="8"/>
  <c r="M91" i="8"/>
  <c r="N91" i="8"/>
  <c r="L91" i="8"/>
  <c r="E91" i="8"/>
  <c r="F91" i="8"/>
  <c r="D91" i="8"/>
  <c r="G91" i="8"/>
  <c r="M92" i="8"/>
  <c r="N92" i="8"/>
  <c r="L92" i="8"/>
  <c r="E92" i="8"/>
  <c r="F92" i="8"/>
  <c r="D92" i="8"/>
  <c r="G92" i="8"/>
  <c r="M93" i="8"/>
  <c r="N93" i="8"/>
  <c r="L93" i="8"/>
  <c r="E93" i="8"/>
  <c r="F93" i="8"/>
  <c r="D93" i="8"/>
  <c r="G93" i="8"/>
  <c r="M94" i="8"/>
  <c r="N94" i="8"/>
  <c r="L94" i="8"/>
  <c r="E94" i="8"/>
  <c r="F94" i="8"/>
  <c r="D94" i="8"/>
  <c r="G94" i="8"/>
  <c r="M95" i="8"/>
  <c r="N95" i="8"/>
  <c r="L95" i="8"/>
  <c r="E95" i="8"/>
  <c r="F95" i="8"/>
  <c r="D95" i="8"/>
  <c r="G95" i="8"/>
  <c r="M96" i="8"/>
  <c r="N96" i="8"/>
  <c r="L96" i="8"/>
  <c r="E96" i="8"/>
  <c r="F96" i="8"/>
  <c r="D96" i="8"/>
  <c r="G96" i="8"/>
  <c r="M97" i="8"/>
  <c r="N97" i="8"/>
  <c r="L97" i="8"/>
  <c r="E97" i="8"/>
  <c r="F97" i="8"/>
  <c r="D97" i="8"/>
  <c r="G97" i="8"/>
  <c r="M98" i="8"/>
  <c r="N98" i="8"/>
  <c r="L98" i="8"/>
  <c r="E98" i="8"/>
  <c r="F98" i="8"/>
  <c r="D98" i="8"/>
  <c r="G98" i="8"/>
  <c r="M99" i="8"/>
  <c r="N99" i="8"/>
  <c r="L99" i="8"/>
  <c r="E99" i="8"/>
  <c r="F99" i="8"/>
  <c r="D99" i="8"/>
  <c r="G99" i="8"/>
  <c r="M100" i="8"/>
  <c r="N100" i="8"/>
  <c r="L100" i="8"/>
  <c r="E100" i="8"/>
  <c r="F100" i="8"/>
  <c r="D100" i="8"/>
  <c r="G100" i="8"/>
  <c r="M101" i="8"/>
  <c r="N101" i="8"/>
  <c r="L101" i="8"/>
  <c r="E101" i="8"/>
  <c r="F101" i="8"/>
  <c r="D101" i="8"/>
  <c r="G101" i="8"/>
  <c r="M102" i="8"/>
  <c r="N102" i="8"/>
  <c r="L102" i="8"/>
  <c r="E102" i="8"/>
  <c r="F102" i="8"/>
  <c r="D102" i="8"/>
  <c r="G102" i="8"/>
  <c r="M103" i="8"/>
  <c r="N103" i="8"/>
  <c r="L103" i="8"/>
  <c r="E103" i="8"/>
  <c r="F103" i="8"/>
  <c r="D103" i="8"/>
  <c r="G103" i="8"/>
  <c r="M104" i="8"/>
  <c r="N104" i="8"/>
  <c r="L104" i="8"/>
  <c r="E104" i="8"/>
  <c r="F104" i="8"/>
  <c r="D104" i="8"/>
  <c r="G104" i="8"/>
  <c r="M105" i="8"/>
  <c r="N105" i="8"/>
  <c r="L105" i="8"/>
  <c r="E105" i="8"/>
  <c r="F105" i="8"/>
  <c r="D105" i="8"/>
  <c r="G105" i="8"/>
  <c r="M106" i="8"/>
  <c r="N106" i="8"/>
  <c r="L106" i="8"/>
  <c r="E106" i="8"/>
  <c r="F106" i="8"/>
  <c r="D106" i="8"/>
  <c r="G106" i="8"/>
  <c r="M107" i="8"/>
  <c r="N107" i="8"/>
  <c r="L107" i="8"/>
  <c r="E107" i="8"/>
  <c r="F107" i="8"/>
  <c r="D107" i="8"/>
  <c r="G107" i="8"/>
  <c r="M108" i="8"/>
  <c r="N108" i="8"/>
  <c r="L108" i="8"/>
  <c r="E108" i="8"/>
  <c r="F108" i="8"/>
  <c r="D108" i="8"/>
  <c r="G108" i="8"/>
  <c r="M109" i="8"/>
  <c r="N109" i="8"/>
  <c r="L109" i="8"/>
  <c r="E109" i="8"/>
  <c r="F109" i="8"/>
  <c r="D109" i="8"/>
  <c r="G109" i="8"/>
  <c r="M110" i="8"/>
  <c r="N110" i="8"/>
  <c r="L110" i="8"/>
  <c r="E110" i="8"/>
  <c r="F110" i="8"/>
  <c r="D110" i="8"/>
  <c r="G110" i="8"/>
  <c r="M111" i="8"/>
  <c r="N111" i="8"/>
  <c r="L111" i="8"/>
  <c r="E111" i="8"/>
  <c r="F111" i="8"/>
  <c r="D111" i="8"/>
  <c r="G111" i="8"/>
  <c r="M112" i="8"/>
  <c r="N112" i="8"/>
  <c r="L112" i="8"/>
  <c r="E112" i="8"/>
  <c r="F112" i="8"/>
  <c r="D112" i="8"/>
  <c r="G112" i="8"/>
  <c r="M113" i="8"/>
  <c r="N113" i="8"/>
  <c r="L113" i="8"/>
  <c r="E113" i="8"/>
  <c r="F113" i="8"/>
  <c r="D113" i="8"/>
  <c r="G113" i="8"/>
  <c r="M114" i="8"/>
  <c r="N114" i="8"/>
  <c r="L114" i="8"/>
  <c r="E114" i="8"/>
  <c r="F114" i="8"/>
  <c r="D114" i="8"/>
  <c r="G114" i="8"/>
  <c r="M115" i="8"/>
  <c r="N115" i="8"/>
  <c r="L115" i="8"/>
  <c r="E115" i="8"/>
  <c r="F115" i="8"/>
  <c r="D115" i="8"/>
  <c r="G115" i="8"/>
  <c r="M12" i="8"/>
  <c r="M3" i="8"/>
  <c r="M5" i="8"/>
  <c r="I6" i="8"/>
  <c r="Q6" i="8"/>
  <c r="M2" i="8"/>
  <c r="I8" i="8"/>
  <c r="Q8" i="8"/>
  <c r="M4" i="8"/>
  <c r="I5" i="8"/>
  <c r="Q5" i="8"/>
  <c r="M1" i="8"/>
  <c r="I4" i="8"/>
  <c r="Q4" i="8"/>
  <c r="R10" i="8"/>
  <c r="M6" i="8"/>
  <c r="H115" i="8"/>
  <c r="K115" i="8"/>
  <c r="J115" i="8"/>
  <c r="I115" i="8"/>
  <c r="H114" i="8"/>
  <c r="K114" i="8"/>
  <c r="J114" i="8"/>
  <c r="I114" i="8"/>
  <c r="H113" i="8"/>
  <c r="K113" i="8"/>
  <c r="J113" i="8"/>
  <c r="I113" i="8"/>
  <c r="H112" i="8"/>
  <c r="K112" i="8"/>
  <c r="J112" i="8"/>
  <c r="I112" i="8"/>
  <c r="H111" i="8"/>
  <c r="K111" i="8"/>
  <c r="J111" i="8"/>
  <c r="I111" i="8"/>
  <c r="H110" i="8"/>
  <c r="K110" i="8"/>
  <c r="J110" i="8"/>
  <c r="I110" i="8"/>
  <c r="H109" i="8"/>
  <c r="K109" i="8"/>
  <c r="J109" i="8"/>
  <c r="I109" i="8"/>
  <c r="H108" i="8"/>
  <c r="K108" i="8"/>
  <c r="J108" i="8"/>
  <c r="I108" i="8"/>
  <c r="H107" i="8"/>
  <c r="K107" i="8"/>
  <c r="J107" i="8"/>
  <c r="I107" i="8"/>
  <c r="H106" i="8"/>
  <c r="K106" i="8"/>
  <c r="J106" i="8"/>
  <c r="I106" i="8"/>
  <c r="H105" i="8"/>
  <c r="K105" i="8"/>
  <c r="J105" i="8"/>
  <c r="I105" i="8"/>
  <c r="H104" i="8"/>
  <c r="K104" i="8"/>
  <c r="J104" i="8"/>
  <c r="I104" i="8"/>
  <c r="H103" i="8"/>
  <c r="K103" i="8"/>
  <c r="J103" i="8"/>
  <c r="I103" i="8"/>
  <c r="H102" i="8"/>
  <c r="K102" i="8"/>
  <c r="J102" i="8"/>
  <c r="I102" i="8"/>
  <c r="H101" i="8"/>
  <c r="K101" i="8"/>
  <c r="J101" i="8"/>
  <c r="I101" i="8"/>
  <c r="H100" i="8"/>
  <c r="K100" i="8"/>
  <c r="J100" i="8"/>
  <c r="I100" i="8"/>
  <c r="H99" i="8"/>
  <c r="K99" i="8"/>
  <c r="J99" i="8"/>
  <c r="I99" i="8"/>
  <c r="H98" i="8"/>
  <c r="K98" i="8"/>
  <c r="J98" i="8"/>
  <c r="I98" i="8"/>
  <c r="H97" i="8"/>
  <c r="K97" i="8"/>
  <c r="J97" i="8"/>
  <c r="I97" i="8"/>
  <c r="H96" i="8"/>
  <c r="K96" i="8"/>
  <c r="J96" i="8"/>
  <c r="I96" i="8"/>
  <c r="H95" i="8"/>
  <c r="K95" i="8"/>
  <c r="J95" i="8"/>
  <c r="I95" i="8"/>
  <c r="H94" i="8"/>
  <c r="K94" i="8"/>
  <c r="J94" i="8"/>
  <c r="I94" i="8"/>
  <c r="H93" i="8"/>
  <c r="K93" i="8"/>
  <c r="J93" i="8"/>
  <c r="I93" i="8"/>
  <c r="H92" i="8"/>
  <c r="K92" i="8"/>
  <c r="J92" i="8"/>
  <c r="I92" i="8"/>
  <c r="H91" i="8"/>
  <c r="K91" i="8"/>
  <c r="J91" i="8"/>
  <c r="I91" i="8"/>
  <c r="H90" i="8"/>
  <c r="K90" i="8"/>
  <c r="J90" i="8"/>
  <c r="I90" i="8"/>
  <c r="H89" i="8"/>
  <c r="K89" i="8"/>
  <c r="J89" i="8"/>
  <c r="I89" i="8"/>
  <c r="H88" i="8"/>
  <c r="K88" i="8"/>
  <c r="J88" i="8"/>
  <c r="I88" i="8"/>
  <c r="H87" i="8"/>
  <c r="K87" i="8"/>
  <c r="J87" i="8"/>
  <c r="I87" i="8"/>
  <c r="H86" i="8"/>
  <c r="K86" i="8"/>
  <c r="J86" i="8"/>
  <c r="I86" i="8"/>
  <c r="H85" i="8"/>
  <c r="K85" i="8"/>
  <c r="J85" i="8"/>
  <c r="I85" i="8"/>
  <c r="H84" i="8"/>
  <c r="K84" i="8"/>
  <c r="J84" i="8"/>
  <c r="I84" i="8"/>
  <c r="H83" i="8"/>
  <c r="K83" i="8"/>
  <c r="J83" i="8"/>
  <c r="I83" i="8"/>
  <c r="H82" i="8"/>
  <c r="K82" i="8"/>
  <c r="J82" i="8"/>
  <c r="I82" i="8"/>
  <c r="H81" i="8"/>
  <c r="K81" i="8"/>
  <c r="J81" i="8"/>
  <c r="I81" i="8"/>
  <c r="H80" i="8"/>
  <c r="K80" i="8"/>
  <c r="J80" i="8"/>
  <c r="I80" i="8"/>
  <c r="H79" i="8"/>
  <c r="K79" i="8"/>
  <c r="J79" i="8"/>
  <c r="I79" i="8"/>
  <c r="H78" i="8"/>
  <c r="K78" i="8"/>
  <c r="J78" i="8"/>
  <c r="I78" i="8"/>
  <c r="H77" i="8"/>
  <c r="K77" i="8"/>
  <c r="J77" i="8"/>
  <c r="I77" i="8"/>
  <c r="H76" i="8"/>
  <c r="K76" i="8"/>
  <c r="J76" i="8"/>
  <c r="I76" i="8"/>
  <c r="H75" i="8"/>
  <c r="K75" i="8"/>
  <c r="J75" i="8"/>
  <c r="I75" i="8"/>
  <c r="H74" i="8"/>
  <c r="K74" i="8"/>
  <c r="J74" i="8"/>
  <c r="I74" i="8"/>
  <c r="H73" i="8"/>
  <c r="K73" i="8"/>
  <c r="J73" i="8"/>
  <c r="I73" i="8"/>
  <c r="H72" i="8"/>
  <c r="K72" i="8"/>
  <c r="J72" i="8"/>
  <c r="I72" i="8"/>
  <c r="H71" i="8"/>
  <c r="K71" i="8"/>
  <c r="J71" i="8"/>
  <c r="I71" i="8"/>
  <c r="H70" i="8"/>
  <c r="K70" i="8"/>
  <c r="J70" i="8"/>
  <c r="I70" i="8"/>
  <c r="H69" i="8"/>
  <c r="K69" i="8"/>
  <c r="J69" i="8"/>
  <c r="I69" i="8"/>
  <c r="H68" i="8"/>
  <c r="K68" i="8"/>
  <c r="J68" i="8"/>
  <c r="I68" i="8"/>
  <c r="H67" i="8"/>
  <c r="K67" i="8"/>
  <c r="J67" i="8"/>
  <c r="I67" i="8"/>
  <c r="H66" i="8"/>
  <c r="K66" i="8"/>
  <c r="J66" i="8"/>
  <c r="I66" i="8"/>
  <c r="H65" i="8"/>
  <c r="K65" i="8"/>
  <c r="J65" i="8"/>
  <c r="I65" i="8"/>
  <c r="H64" i="8"/>
  <c r="K64" i="8"/>
  <c r="J64" i="8"/>
  <c r="I64" i="8"/>
  <c r="H63" i="8"/>
  <c r="K63" i="8"/>
  <c r="J63" i="8"/>
  <c r="I63" i="8"/>
  <c r="H62" i="8"/>
  <c r="K62" i="8"/>
  <c r="J62" i="8"/>
  <c r="I62" i="8"/>
  <c r="H61" i="8"/>
  <c r="K61" i="8"/>
  <c r="J61" i="8"/>
  <c r="I61" i="8"/>
  <c r="H60" i="8"/>
  <c r="K60" i="8"/>
  <c r="J60" i="8"/>
  <c r="I60" i="8"/>
  <c r="H59" i="8"/>
  <c r="K59" i="8"/>
  <c r="J59" i="8"/>
  <c r="I59" i="8"/>
  <c r="H58" i="8"/>
  <c r="K58" i="8"/>
  <c r="J58" i="8"/>
  <c r="I58" i="8"/>
  <c r="H57" i="8"/>
  <c r="K57" i="8"/>
  <c r="J57" i="8"/>
  <c r="I57" i="8"/>
  <c r="H56" i="8"/>
  <c r="K56" i="8"/>
  <c r="J56" i="8"/>
  <c r="I56" i="8"/>
  <c r="H55" i="8"/>
  <c r="K55" i="8"/>
  <c r="J55" i="8"/>
  <c r="I55" i="8"/>
  <c r="H54" i="8"/>
  <c r="K54" i="8"/>
  <c r="J54" i="8"/>
  <c r="I54" i="8"/>
  <c r="H53" i="8"/>
  <c r="K53" i="8"/>
  <c r="J53" i="8"/>
  <c r="I53" i="8"/>
  <c r="H52" i="8"/>
  <c r="K52" i="8"/>
  <c r="J52" i="8"/>
  <c r="I52" i="8"/>
  <c r="H51" i="8"/>
  <c r="K51" i="8"/>
  <c r="J51" i="8"/>
  <c r="I51" i="8"/>
  <c r="H50" i="8"/>
  <c r="K50" i="8"/>
  <c r="J50" i="8"/>
  <c r="I50" i="8"/>
  <c r="H49" i="8"/>
  <c r="K49" i="8"/>
  <c r="J49" i="8"/>
  <c r="I49" i="8"/>
  <c r="H48" i="8"/>
  <c r="K48" i="8"/>
  <c r="J48" i="8"/>
  <c r="I48" i="8"/>
  <c r="H47" i="8"/>
  <c r="K47" i="8"/>
  <c r="J47" i="8"/>
  <c r="I47" i="8"/>
  <c r="H46" i="8"/>
  <c r="K46" i="8"/>
  <c r="J46" i="8"/>
  <c r="I46" i="8"/>
  <c r="H45" i="8"/>
  <c r="K45" i="8"/>
  <c r="J45" i="8"/>
  <c r="I45" i="8"/>
  <c r="H44" i="8"/>
  <c r="K44" i="8"/>
  <c r="J44" i="8"/>
  <c r="I44" i="8"/>
  <c r="H43" i="8"/>
  <c r="K43" i="8"/>
  <c r="J43" i="8"/>
  <c r="I43" i="8"/>
  <c r="H42" i="8"/>
  <c r="K42" i="8"/>
  <c r="J42" i="8"/>
  <c r="I42" i="8"/>
  <c r="H41" i="8"/>
  <c r="K41" i="8"/>
  <c r="J41" i="8"/>
  <c r="I41" i="8"/>
  <c r="H40" i="8"/>
  <c r="K40" i="8"/>
  <c r="J40" i="8"/>
  <c r="I40" i="8"/>
  <c r="H39" i="8"/>
  <c r="K39" i="8"/>
  <c r="J39" i="8"/>
  <c r="I39" i="8"/>
  <c r="H38" i="8"/>
  <c r="K38" i="8"/>
  <c r="J38" i="8"/>
  <c r="I38" i="8"/>
  <c r="H37" i="8"/>
  <c r="K37" i="8"/>
  <c r="J37" i="8"/>
  <c r="I37" i="8"/>
  <c r="H36" i="8"/>
  <c r="K36" i="8"/>
  <c r="J36" i="8"/>
  <c r="I36" i="8"/>
  <c r="H35" i="8"/>
  <c r="K35" i="8"/>
  <c r="J35" i="8"/>
  <c r="I35" i="8"/>
  <c r="H34" i="8"/>
  <c r="K34" i="8"/>
  <c r="J34" i="8"/>
  <c r="I34" i="8"/>
  <c r="H33" i="8"/>
  <c r="K33" i="8"/>
  <c r="J33" i="8"/>
  <c r="I33" i="8"/>
  <c r="H32" i="8"/>
  <c r="K32" i="8"/>
  <c r="J32" i="8"/>
  <c r="I32" i="8"/>
  <c r="H31" i="8"/>
  <c r="K31" i="8"/>
  <c r="J31" i="8"/>
  <c r="I31" i="8"/>
  <c r="H30" i="8"/>
  <c r="K30" i="8"/>
  <c r="J30" i="8"/>
  <c r="I30" i="8"/>
  <c r="H29" i="8"/>
  <c r="K29" i="8"/>
  <c r="J29" i="8"/>
  <c r="I29" i="8"/>
  <c r="H28" i="8"/>
  <c r="K28" i="8"/>
  <c r="J28" i="8"/>
  <c r="I28" i="8"/>
  <c r="H27" i="8"/>
  <c r="K27" i="8"/>
  <c r="J27" i="8"/>
  <c r="I27" i="8"/>
  <c r="H26" i="8"/>
  <c r="K26" i="8"/>
  <c r="J26" i="8"/>
  <c r="I26" i="8"/>
  <c r="H25" i="8"/>
  <c r="K25" i="8"/>
  <c r="J25" i="8"/>
  <c r="I25" i="8"/>
  <c r="H24" i="8"/>
  <c r="K24" i="8"/>
  <c r="J24" i="8"/>
  <c r="I24" i="8"/>
  <c r="H23" i="8"/>
  <c r="K23" i="8"/>
  <c r="J23" i="8"/>
  <c r="I23" i="8"/>
  <c r="H22" i="8"/>
  <c r="K22" i="8"/>
  <c r="J22" i="8"/>
  <c r="I22" i="8"/>
  <c r="H21" i="8"/>
  <c r="K21" i="8"/>
  <c r="J21" i="8"/>
  <c r="I21" i="8"/>
  <c r="H20" i="8"/>
  <c r="K20" i="8"/>
  <c r="J20" i="8"/>
  <c r="I20" i="8"/>
  <c r="H19" i="8"/>
  <c r="K19" i="8"/>
  <c r="J19" i="8"/>
  <c r="I19" i="8"/>
  <c r="H18" i="8"/>
  <c r="K18" i="8"/>
  <c r="J18" i="8"/>
  <c r="I18" i="8"/>
  <c r="H17" i="8"/>
  <c r="K17" i="8"/>
  <c r="J17" i="8"/>
  <c r="I17" i="8"/>
  <c r="H16" i="8"/>
  <c r="K16" i="8"/>
  <c r="J16" i="8"/>
  <c r="I16" i="8"/>
  <c r="Q7" i="8"/>
  <c r="N5" i="8"/>
  <c r="K15" i="7"/>
  <c r="L15" i="7"/>
  <c r="J15" i="7"/>
  <c r="C15" i="7"/>
  <c r="D15" i="7"/>
  <c r="K16" i="7"/>
  <c r="E15" i="7"/>
  <c r="L16" i="7"/>
  <c r="J16" i="7"/>
  <c r="C16" i="7"/>
  <c r="D16" i="7"/>
  <c r="K17" i="7"/>
  <c r="E16" i="7"/>
  <c r="L17" i="7"/>
  <c r="J17" i="7"/>
  <c r="C17" i="7"/>
  <c r="D17" i="7"/>
  <c r="K18" i="7"/>
  <c r="E17" i="7"/>
  <c r="L18" i="7"/>
  <c r="J18" i="7"/>
  <c r="C18" i="7"/>
  <c r="D18" i="7"/>
  <c r="K19" i="7"/>
  <c r="E18" i="7"/>
  <c r="L19" i="7"/>
  <c r="J19" i="7"/>
  <c r="C19" i="7"/>
  <c r="D19" i="7"/>
  <c r="K20" i="7"/>
  <c r="E19" i="7"/>
  <c r="L20" i="7"/>
  <c r="J20" i="7"/>
  <c r="C20" i="7"/>
  <c r="D20" i="7"/>
  <c r="K21" i="7"/>
  <c r="E20" i="7"/>
  <c r="L21" i="7"/>
  <c r="J21" i="7"/>
  <c r="C21" i="7"/>
  <c r="D21" i="7"/>
  <c r="K22" i="7"/>
  <c r="E21" i="7"/>
  <c r="L22" i="7"/>
  <c r="J22" i="7"/>
  <c r="C22" i="7"/>
  <c r="D22" i="7"/>
  <c r="K23" i="7"/>
  <c r="E22" i="7"/>
  <c r="L23" i="7"/>
  <c r="J23" i="7"/>
  <c r="C23" i="7"/>
  <c r="D23" i="7"/>
  <c r="K24" i="7"/>
  <c r="E23" i="7"/>
  <c r="L24" i="7"/>
  <c r="J24" i="7"/>
  <c r="C24" i="7"/>
  <c r="D24" i="7"/>
  <c r="K25" i="7"/>
  <c r="E24" i="7"/>
  <c r="L25" i="7"/>
  <c r="J25" i="7"/>
  <c r="C25" i="7"/>
  <c r="D25" i="7"/>
  <c r="K26" i="7"/>
  <c r="E25" i="7"/>
  <c r="L26" i="7"/>
  <c r="J26" i="7"/>
  <c r="C26" i="7"/>
  <c r="D26" i="7"/>
  <c r="K27" i="7"/>
  <c r="E26" i="7"/>
  <c r="L27" i="7"/>
  <c r="J27" i="7"/>
  <c r="C27" i="7"/>
  <c r="D27" i="7"/>
  <c r="K28" i="7"/>
  <c r="E27" i="7"/>
  <c r="L28" i="7"/>
  <c r="J28" i="7"/>
  <c r="C28" i="7"/>
  <c r="D28" i="7"/>
  <c r="K29" i="7"/>
  <c r="E28" i="7"/>
  <c r="L29" i="7"/>
  <c r="J29" i="7"/>
  <c r="C29" i="7"/>
  <c r="D29" i="7"/>
  <c r="K30" i="7"/>
  <c r="E29" i="7"/>
  <c r="L30" i="7"/>
  <c r="J30" i="7"/>
  <c r="C30" i="7"/>
  <c r="D30" i="7"/>
  <c r="K31" i="7"/>
  <c r="E30" i="7"/>
  <c r="L31" i="7"/>
  <c r="J31" i="7"/>
  <c r="C31" i="7"/>
  <c r="D31" i="7"/>
  <c r="K32" i="7"/>
  <c r="E31" i="7"/>
  <c r="L32" i="7"/>
  <c r="J32" i="7"/>
  <c r="C32" i="7"/>
  <c r="D32" i="7"/>
  <c r="K33" i="7"/>
  <c r="E32" i="7"/>
  <c r="L33" i="7"/>
  <c r="J33" i="7"/>
  <c r="C33" i="7"/>
  <c r="D33" i="7"/>
  <c r="K34" i="7"/>
  <c r="E33" i="7"/>
  <c r="L34" i="7"/>
  <c r="J34" i="7"/>
  <c r="C34" i="7"/>
  <c r="D34" i="7"/>
  <c r="K35" i="7"/>
  <c r="E34" i="7"/>
  <c r="L35" i="7"/>
  <c r="J35" i="7"/>
  <c r="C35" i="7"/>
  <c r="D35" i="7"/>
  <c r="K36" i="7"/>
  <c r="E35" i="7"/>
  <c r="L36" i="7"/>
  <c r="J36" i="7"/>
  <c r="C36" i="7"/>
  <c r="D36" i="7"/>
  <c r="K37" i="7"/>
  <c r="E36" i="7"/>
  <c r="L37" i="7"/>
  <c r="J37" i="7"/>
  <c r="C37" i="7"/>
  <c r="D37" i="7"/>
  <c r="K38" i="7"/>
  <c r="E37" i="7"/>
  <c r="L38" i="7"/>
  <c r="J38" i="7"/>
  <c r="C38" i="7"/>
  <c r="D38" i="7"/>
  <c r="K39" i="7"/>
  <c r="E38" i="7"/>
  <c r="L39" i="7"/>
  <c r="J39" i="7"/>
  <c r="C39" i="7"/>
  <c r="D39" i="7"/>
  <c r="K40" i="7"/>
  <c r="E39" i="7"/>
  <c r="L40" i="7"/>
  <c r="J40" i="7"/>
  <c r="C40" i="7"/>
  <c r="D40" i="7"/>
  <c r="K41" i="7"/>
  <c r="E40" i="7"/>
  <c r="L41" i="7"/>
  <c r="J41" i="7"/>
  <c r="C41" i="7"/>
  <c r="D41" i="7"/>
  <c r="K42" i="7"/>
  <c r="E41" i="7"/>
  <c r="L42" i="7"/>
  <c r="J42" i="7"/>
  <c r="C42" i="7"/>
  <c r="D42" i="7"/>
  <c r="K43" i="7"/>
  <c r="E42" i="7"/>
  <c r="L43" i="7"/>
  <c r="J43" i="7"/>
  <c r="C43" i="7"/>
  <c r="D43" i="7"/>
  <c r="K44" i="7"/>
  <c r="E43" i="7"/>
  <c r="L44" i="7"/>
  <c r="J44" i="7"/>
  <c r="C44" i="7"/>
  <c r="D44" i="7"/>
  <c r="K45" i="7"/>
  <c r="E44" i="7"/>
  <c r="L45" i="7"/>
  <c r="J45" i="7"/>
  <c r="C45" i="7"/>
  <c r="D45" i="7"/>
  <c r="K46" i="7"/>
  <c r="E45" i="7"/>
  <c r="L46" i="7"/>
  <c r="J46" i="7"/>
  <c r="C46" i="7"/>
  <c r="D46" i="7"/>
  <c r="K47" i="7"/>
  <c r="E46" i="7"/>
  <c r="L47" i="7"/>
  <c r="J47" i="7"/>
  <c r="C47" i="7"/>
  <c r="D47" i="7"/>
  <c r="K48" i="7"/>
  <c r="E47" i="7"/>
  <c r="L48" i="7"/>
  <c r="J48" i="7"/>
  <c r="C48" i="7"/>
  <c r="D48" i="7"/>
  <c r="K49" i="7"/>
  <c r="E48" i="7"/>
  <c r="L49" i="7"/>
  <c r="J49" i="7"/>
  <c r="C49" i="7"/>
  <c r="D49" i="7"/>
  <c r="K50" i="7"/>
  <c r="E49" i="7"/>
  <c r="L50" i="7"/>
  <c r="J50" i="7"/>
  <c r="C50" i="7"/>
  <c r="D50" i="7"/>
  <c r="K51" i="7"/>
  <c r="E50" i="7"/>
  <c r="L51" i="7"/>
  <c r="J51" i="7"/>
  <c r="C51" i="7"/>
  <c r="D51" i="7"/>
  <c r="K52" i="7"/>
  <c r="E51" i="7"/>
  <c r="L52" i="7"/>
  <c r="J52" i="7"/>
  <c r="C52" i="7"/>
  <c r="D52" i="7"/>
  <c r="K53" i="7"/>
  <c r="E52" i="7"/>
  <c r="L53" i="7"/>
  <c r="J53" i="7"/>
  <c r="C53" i="7"/>
  <c r="D53" i="7"/>
  <c r="K54" i="7"/>
  <c r="E53" i="7"/>
  <c r="L54" i="7"/>
  <c r="J54" i="7"/>
  <c r="C54" i="7"/>
  <c r="D54" i="7"/>
  <c r="K55" i="7"/>
  <c r="E54" i="7"/>
  <c r="L55" i="7"/>
  <c r="J55" i="7"/>
  <c r="C55" i="7"/>
  <c r="D55" i="7"/>
  <c r="K56" i="7"/>
  <c r="E55" i="7"/>
  <c r="L56" i="7"/>
  <c r="J56" i="7"/>
  <c r="C56" i="7"/>
  <c r="D56" i="7"/>
  <c r="K57" i="7"/>
  <c r="E56" i="7"/>
  <c r="L57" i="7"/>
  <c r="J57" i="7"/>
  <c r="C57" i="7"/>
  <c r="D57" i="7"/>
  <c r="K58" i="7"/>
  <c r="E57" i="7"/>
  <c r="L58" i="7"/>
  <c r="J58" i="7"/>
  <c r="C58" i="7"/>
  <c r="D58" i="7"/>
  <c r="K59" i="7"/>
  <c r="E58" i="7"/>
  <c r="L59" i="7"/>
  <c r="J59" i="7"/>
  <c r="C59" i="7"/>
  <c r="D59" i="7"/>
  <c r="K60" i="7"/>
  <c r="E59" i="7"/>
  <c r="L60" i="7"/>
  <c r="J60" i="7"/>
  <c r="C60" i="7"/>
  <c r="D60" i="7"/>
  <c r="K61" i="7"/>
  <c r="E60" i="7"/>
  <c r="L61" i="7"/>
  <c r="J61" i="7"/>
  <c r="C61" i="7"/>
  <c r="D61" i="7"/>
  <c r="K62" i="7"/>
  <c r="E61" i="7"/>
  <c r="L62" i="7"/>
  <c r="J62" i="7"/>
  <c r="C62" i="7"/>
  <c r="D62" i="7"/>
  <c r="K63" i="7"/>
  <c r="E62" i="7"/>
  <c r="L63" i="7"/>
  <c r="J63" i="7"/>
  <c r="C63" i="7"/>
  <c r="D63" i="7"/>
  <c r="K64" i="7"/>
  <c r="E63" i="7"/>
  <c r="L64" i="7"/>
  <c r="J64" i="7"/>
  <c r="C64" i="7"/>
  <c r="D64" i="7"/>
  <c r="K65" i="7"/>
  <c r="E64" i="7"/>
  <c r="L65" i="7"/>
  <c r="J65" i="7"/>
  <c r="C65" i="7"/>
  <c r="D65" i="7"/>
  <c r="K66" i="7"/>
  <c r="E65" i="7"/>
  <c r="L66" i="7"/>
  <c r="J66" i="7"/>
  <c r="C66" i="7"/>
  <c r="D66" i="7"/>
  <c r="K67" i="7"/>
  <c r="E66" i="7"/>
  <c r="L67" i="7"/>
  <c r="J67" i="7"/>
  <c r="C67" i="7"/>
  <c r="D67" i="7"/>
  <c r="K68" i="7"/>
  <c r="E67" i="7"/>
  <c r="L68" i="7"/>
  <c r="J68" i="7"/>
  <c r="C68" i="7"/>
  <c r="D68" i="7"/>
  <c r="K69" i="7"/>
  <c r="E68" i="7"/>
  <c r="L69" i="7"/>
  <c r="J69" i="7"/>
  <c r="C69" i="7"/>
  <c r="D69" i="7"/>
  <c r="K70" i="7"/>
  <c r="E69" i="7"/>
  <c r="L70" i="7"/>
  <c r="J70" i="7"/>
  <c r="C70" i="7"/>
  <c r="D70" i="7"/>
  <c r="K71" i="7"/>
  <c r="E70" i="7"/>
  <c r="L71" i="7"/>
  <c r="J71" i="7"/>
  <c r="C71" i="7"/>
  <c r="D71" i="7"/>
  <c r="K72" i="7"/>
  <c r="E71" i="7"/>
  <c r="L72" i="7"/>
  <c r="J72" i="7"/>
  <c r="C72" i="7"/>
  <c r="D72" i="7"/>
  <c r="K73" i="7"/>
  <c r="E72" i="7"/>
  <c r="L73" i="7"/>
  <c r="J73" i="7"/>
  <c r="C73" i="7"/>
  <c r="D73" i="7"/>
  <c r="K74" i="7"/>
  <c r="E73" i="7"/>
  <c r="L74" i="7"/>
  <c r="J74" i="7"/>
  <c r="C74" i="7"/>
  <c r="D74" i="7"/>
  <c r="K75" i="7"/>
  <c r="E74" i="7"/>
  <c r="L75" i="7"/>
  <c r="J75" i="7"/>
  <c r="C75" i="7"/>
  <c r="D75" i="7"/>
  <c r="K76" i="7"/>
  <c r="E75" i="7"/>
  <c r="L76" i="7"/>
  <c r="J76" i="7"/>
  <c r="C76" i="7"/>
  <c r="D76" i="7"/>
  <c r="K77" i="7"/>
  <c r="E76" i="7"/>
  <c r="L77" i="7"/>
  <c r="J77" i="7"/>
  <c r="C77" i="7"/>
  <c r="D77" i="7"/>
  <c r="K78" i="7"/>
  <c r="E77" i="7"/>
  <c r="L78" i="7"/>
  <c r="J78" i="7"/>
  <c r="C78" i="7"/>
  <c r="D78" i="7"/>
  <c r="K79" i="7"/>
  <c r="E78" i="7"/>
  <c r="L79" i="7"/>
  <c r="J79" i="7"/>
  <c r="C79" i="7"/>
  <c r="D79" i="7"/>
  <c r="K80" i="7"/>
  <c r="E79" i="7"/>
  <c r="L80" i="7"/>
  <c r="J80" i="7"/>
  <c r="C80" i="7"/>
  <c r="D80" i="7"/>
  <c r="K81" i="7"/>
  <c r="E80" i="7"/>
  <c r="L81" i="7"/>
  <c r="J81" i="7"/>
  <c r="C81" i="7"/>
  <c r="D81" i="7"/>
  <c r="K82" i="7"/>
  <c r="E81" i="7"/>
  <c r="L82" i="7"/>
  <c r="J82" i="7"/>
  <c r="C82" i="7"/>
  <c r="D82" i="7"/>
  <c r="K83" i="7"/>
  <c r="E82" i="7"/>
  <c r="L83" i="7"/>
  <c r="J83" i="7"/>
  <c r="C83" i="7"/>
  <c r="D83" i="7"/>
  <c r="K84" i="7"/>
  <c r="E83" i="7"/>
  <c r="L84" i="7"/>
  <c r="J84" i="7"/>
  <c r="C84" i="7"/>
  <c r="D84" i="7"/>
  <c r="K85" i="7"/>
  <c r="E84" i="7"/>
  <c r="L85" i="7"/>
  <c r="J85" i="7"/>
  <c r="C85" i="7"/>
  <c r="D85" i="7"/>
  <c r="K86" i="7"/>
  <c r="E85" i="7"/>
  <c r="L86" i="7"/>
  <c r="J86" i="7"/>
  <c r="C86" i="7"/>
  <c r="D86" i="7"/>
  <c r="K87" i="7"/>
  <c r="E86" i="7"/>
  <c r="L87" i="7"/>
  <c r="J87" i="7"/>
  <c r="C87" i="7"/>
  <c r="D87" i="7"/>
  <c r="K88" i="7"/>
  <c r="E87" i="7"/>
  <c r="L88" i="7"/>
  <c r="J88" i="7"/>
  <c r="C88" i="7"/>
  <c r="D88" i="7"/>
  <c r="K89" i="7"/>
  <c r="E88" i="7"/>
  <c r="L89" i="7"/>
  <c r="J89" i="7"/>
  <c r="C89" i="7"/>
  <c r="D89" i="7"/>
  <c r="K90" i="7"/>
  <c r="E89" i="7"/>
  <c r="L90" i="7"/>
  <c r="J90" i="7"/>
  <c r="C90" i="7"/>
  <c r="D90" i="7"/>
  <c r="K91" i="7"/>
  <c r="E90" i="7"/>
  <c r="L91" i="7"/>
  <c r="J91" i="7"/>
  <c r="C91" i="7"/>
  <c r="D91" i="7"/>
  <c r="K92" i="7"/>
  <c r="E91" i="7"/>
  <c r="L92" i="7"/>
  <c r="J92" i="7"/>
  <c r="C92" i="7"/>
  <c r="D92" i="7"/>
  <c r="K93" i="7"/>
  <c r="E92" i="7"/>
  <c r="L93" i="7"/>
  <c r="J93" i="7"/>
  <c r="C93" i="7"/>
  <c r="D93" i="7"/>
  <c r="K94" i="7"/>
  <c r="E93" i="7"/>
  <c r="L94" i="7"/>
  <c r="J94" i="7"/>
  <c r="C94" i="7"/>
  <c r="D94" i="7"/>
  <c r="K95" i="7"/>
  <c r="E94" i="7"/>
  <c r="L95" i="7"/>
  <c r="J95" i="7"/>
  <c r="C95" i="7"/>
  <c r="D95" i="7"/>
  <c r="K96" i="7"/>
  <c r="E95" i="7"/>
  <c r="L96" i="7"/>
  <c r="J96" i="7"/>
  <c r="C96" i="7"/>
  <c r="D96" i="7"/>
  <c r="K97" i="7"/>
  <c r="E96" i="7"/>
  <c r="L97" i="7"/>
  <c r="J97" i="7"/>
  <c r="C97" i="7"/>
  <c r="D97" i="7"/>
  <c r="K98" i="7"/>
  <c r="E97" i="7"/>
  <c r="L98" i="7"/>
  <c r="J98" i="7"/>
  <c r="C98" i="7"/>
  <c r="D98" i="7"/>
  <c r="K99" i="7"/>
  <c r="E98" i="7"/>
  <c r="L99" i="7"/>
  <c r="J99" i="7"/>
  <c r="C99" i="7"/>
  <c r="D99" i="7"/>
  <c r="K100" i="7"/>
  <c r="E99" i="7"/>
  <c r="L100" i="7"/>
  <c r="J100" i="7"/>
  <c r="C100" i="7"/>
  <c r="D100" i="7"/>
  <c r="K101" i="7"/>
  <c r="E100" i="7"/>
  <c r="L101" i="7"/>
  <c r="J101" i="7"/>
  <c r="C101" i="7"/>
  <c r="D101" i="7"/>
  <c r="K102" i="7"/>
  <c r="E101" i="7"/>
  <c r="L102" i="7"/>
  <c r="J102" i="7"/>
  <c r="C102" i="7"/>
  <c r="D102" i="7"/>
  <c r="K103" i="7"/>
  <c r="E102" i="7"/>
  <c r="L103" i="7"/>
  <c r="J103" i="7"/>
  <c r="C103" i="7"/>
  <c r="D103" i="7"/>
  <c r="K104" i="7"/>
  <c r="E103" i="7"/>
  <c r="L104" i="7"/>
  <c r="J104" i="7"/>
  <c r="C104" i="7"/>
  <c r="D104" i="7"/>
  <c r="K105" i="7"/>
  <c r="E104" i="7"/>
  <c r="L105" i="7"/>
  <c r="J105" i="7"/>
  <c r="C105" i="7"/>
  <c r="D105" i="7"/>
  <c r="K106" i="7"/>
  <c r="E105" i="7"/>
  <c r="L106" i="7"/>
  <c r="J106" i="7"/>
  <c r="C106" i="7"/>
  <c r="D106" i="7"/>
  <c r="K107" i="7"/>
  <c r="E106" i="7"/>
  <c r="L107" i="7"/>
  <c r="J107" i="7"/>
  <c r="C107" i="7"/>
  <c r="D107" i="7"/>
  <c r="K108" i="7"/>
  <c r="E107" i="7"/>
  <c r="L108" i="7"/>
  <c r="J108" i="7"/>
  <c r="C108" i="7"/>
  <c r="D108" i="7"/>
  <c r="K109" i="7"/>
  <c r="E108" i="7"/>
  <c r="L109" i="7"/>
  <c r="J109" i="7"/>
  <c r="C109" i="7"/>
  <c r="D109" i="7"/>
  <c r="K110" i="7"/>
  <c r="E109" i="7"/>
  <c r="L110" i="7"/>
  <c r="J110" i="7"/>
  <c r="C110" i="7"/>
  <c r="D110" i="7"/>
  <c r="K111" i="7"/>
  <c r="E110" i="7"/>
  <c r="L111" i="7"/>
  <c r="J111" i="7"/>
  <c r="C111" i="7"/>
  <c r="D111" i="7"/>
  <c r="K112" i="7"/>
  <c r="E111" i="7"/>
  <c r="L112" i="7"/>
  <c r="J112" i="7"/>
  <c r="C112" i="7"/>
  <c r="D112" i="7"/>
  <c r="K113" i="7"/>
  <c r="E112" i="7"/>
  <c r="L113" i="7"/>
  <c r="J113" i="7"/>
  <c r="C113" i="7"/>
  <c r="D113" i="7"/>
  <c r="K114" i="7"/>
  <c r="E113" i="7"/>
  <c r="L114" i="7"/>
  <c r="J114" i="7"/>
  <c r="C114" i="7"/>
  <c r="D114" i="7"/>
  <c r="E114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K3" i="7"/>
  <c r="K5" i="7"/>
  <c r="G6" i="7"/>
  <c r="O6" i="7"/>
  <c r="K2" i="7"/>
  <c r="G8" i="7"/>
  <c r="O8" i="7"/>
  <c r="K4" i="7"/>
  <c r="G5" i="7"/>
  <c r="O5" i="7"/>
  <c r="K1" i="7"/>
  <c r="G4" i="7"/>
  <c r="O4" i="7"/>
  <c r="P10" i="7"/>
  <c r="K6" i="7"/>
  <c r="G16" i="7"/>
  <c r="G14" i="7"/>
  <c r="O7" i="7"/>
  <c r="L5" i="7"/>
  <c r="J2" i="3"/>
  <c r="F8" i="3"/>
  <c r="N8" i="3"/>
  <c r="F5" i="3"/>
  <c r="N5" i="3"/>
  <c r="F4" i="3"/>
  <c r="N4" i="3"/>
  <c r="O10" i="3"/>
  <c r="D15" i="3"/>
  <c r="C16" i="3"/>
  <c r="D16" i="3"/>
  <c r="E16" i="3"/>
  <c r="H16" i="3"/>
  <c r="C17" i="3"/>
  <c r="D17" i="3"/>
  <c r="E17" i="3"/>
  <c r="H17" i="3"/>
  <c r="C18" i="3"/>
  <c r="D18" i="3"/>
  <c r="E18" i="3"/>
  <c r="H18" i="3"/>
  <c r="C19" i="3"/>
  <c r="D19" i="3"/>
  <c r="E19" i="3"/>
  <c r="H19" i="3"/>
  <c r="C20" i="3"/>
  <c r="D20" i="3"/>
  <c r="E20" i="3"/>
  <c r="H20" i="3"/>
  <c r="C21" i="3"/>
  <c r="D21" i="3"/>
  <c r="E21" i="3"/>
  <c r="H21" i="3"/>
  <c r="C22" i="3"/>
  <c r="D22" i="3"/>
  <c r="E22" i="3"/>
  <c r="H22" i="3"/>
  <c r="C23" i="3"/>
  <c r="D23" i="3"/>
  <c r="E23" i="3"/>
  <c r="H23" i="3"/>
  <c r="C24" i="3"/>
  <c r="D24" i="3"/>
  <c r="E24" i="3"/>
  <c r="H24" i="3"/>
  <c r="C25" i="3"/>
  <c r="D25" i="3"/>
  <c r="E25" i="3"/>
  <c r="H25" i="3"/>
  <c r="C26" i="3"/>
  <c r="D26" i="3"/>
  <c r="E26" i="3"/>
  <c r="H26" i="3"/>
  <c r="C27" i="3"/>
  <c r="D27" i="3"/>
  <c r="E27" i="3"/>
  <c r="H27" i="3"/>
  <c r="C28" i="3"/>
  <c r="D28" i="3"/>
  <c r="E28" i="3"/>
  <c r="H28" i="3"/>
  <c r="C29" i="3"/>
  <c r="D29" i="3"/>
  <c r="E29" i="3"/>
  <c r="H29" i="3"/>
  <c r="C30" i="3"/>
  <c r="D30" i="3"/>
  <c r="E30" i="3"/>
  <c r="H30" i="3"/>
  <c r="C31" i="3"/>
  <c r="D31" i="3"/>
  <c r="E31" i="3"/>
  <c r="H31" i="3"/>
  <c r="C32" i="3"/>
  <c r="D32" i="3"/>
  <c r="E32" i="3"/>
  <c r="H32" i="3"/>
  <c r="C33" i="3"/>
  <c r="D33" i="3"/>
  <c r="E33" i="3"/>
  <c r="H33" i="3"/>
  <c r="C34" i="3"/>
  <c r="D34" i="3"/>
  <c r="E34" i="3"/>
  <c r="H34" i="3"/>
  <c r="C35" i="3"/>
  <c r="D35" i="3"/>
  <c r="E35" i="3"/>
  <c r="H35" i="3"/>
  <c r="C36" i="3"/>
  <c r="D36" i="3"/>
  <c r="E36" i="3"/>
  <c r="H36" i="3"/>
  <c r="C37" i="3"/>
  <c r="D37" i="3"/>
  <c r="E37" i="3"/>
  <c r="H37" i="3"/>
  <c r="C38" i="3"/>
  <c r="D38" i="3"/>
  <c r="E38" i="3"/>
  <c r="H38" i="3"/>
  <c r="C39" i="3"/>
  <c r="D39" i="3"/>
  <c r="E39" i="3"/>
  <c r="H39" i="3"/>
  <c r="C40" i="3"/>
  <c r="D40" i="3"/>
  <c r="E40" i="3"/>
  <c r="H40" i="3"/>
  <c r="C41" i="3"/>
  <c r="D41" i="3"/>
  <c r="E41" i="3"/>
  <c r="H41" i="3"/>
  <c r="C42" i="3"/>
  <c r="D42" i="3"/>
  <c r="E42" i="3"/>
  <c r="H42" i="3"/>
  <c r="C43" i="3"/>
  <c r="D43" i="3"/>
  <c r="E43" i="3"/>
  <c r="H43" i="3"/>
  <c r="C44" i="3"/>
  <c r="D44" i="3"/>
  <c r="E44" i="3"/>
  <c r="H44" i="3"/>
  <c r="C45" i="3"/>
  <c r="D45" i="3"/>
  <c r="E45" i="3"/>
  <c r="H45" i="3"/>
  <c r="C46" i="3"/>
  <c r="D46" i="3"/>
  <c r="E46" i="3"/>
  <c r="H46" i="3"/>
  <c r="C47" i="3"/>
  <c r="D47" i="3"/>
  <c r="E47" i="3"/>
  <c r="H47" i="3"/>
  <c r="C48" i="3"/>
  <c r="D48" i="3"/>
  <c r="E48" i="3"/>
  <c r="H48" i="3"/>
  <c r="C49" i="3"/>
  <c r="D49" i="3"/>
  <c r="E49" i="3"/>
  <c r="H49" i="3"/>
  <c r="C50" i="3"/>
  <c r="D50" i="3"/>
  <c r="E50" i="3"/>
  <c r="H50" i="3"/>
  <c r="C51" i="3"/>
  <c r="D51" i="3"/>
  <c r="E51" i="3"/>
  <c r="H51" i="3"/>
  <c r="C52" i="3"/>
  <c r="D52" i="3"/>
  <c r="E52" i="3"/>
  <c r="H52" i="3"/>
  <c r="C53" i="3"/>
  <c r="D53" i="3"/>
  <c r="E53" i="3"/>
  <c r="H53" i="3"/>
  <c r="C54" i="3"/>
  <c r="D54" i="3"/>
  <c r="E54" i="3"/>
  <c r="H54" i="3"/>
  <c r="C55" i="3"/>
  <c r="D55" i="3"/>
  <c r="E55" i="3"/>
  <c r="H55" i="3"/>
  <c r="C56" i="3"/>
  <c r="D56" i="3"/>
  <c r="E56" i="3"/>
  <c r="H56" i="3"/>
  <c r="C57" i="3"/>
  <c r="D57" i="3"/>
  <c r="E57" i="3"/>
  <c r="H57" i="3"/>
  <c r="C58" i="3"/>
  <c r="D58" i="3"/>
  <c r="E58" i="3"/>
  <c r="H58" i="3"/>
  <c r="C59" i="3"/>
  <c r="D59" i="3"/>
  <c r="E59" i="3"/>
  <c r="H59" i="3"/>
  <c r="C60" i="3"/>
  <c r="D60" i="3"/>
  <c r="E60" i="3"/>
  <c r="H60" i="3"/>
  <c r="C61" i="3"/>
  <c r="D61" i="3"/>
  <c r="E61" i="3"/>
  <c r="H61" i="3"/>
  <c r="C62" i="3"/>
  <c r="D62" i="3"/>
  <c r="E62" i="3"/>
  <c r="H62" i="3"/>
  <c r="C63" i="3"/>
  <c r="D63" i="3"/>
  <c r="E63" i="3"/>
  <c r="H63" i="3"/>
  <c r="C64" i="3"/>
  <c r="D64" i="3"/>
  <c r="E64" i="3"/>
  <c r="H64" i="3"/>
  <c r="C65" i="3"/>
  <c r="D65" i="3"/>
  <c r="E65" i="3"/>
  <c r="H65" i="3"/>
  <c r="C66" i="3"/>
  <c r="D66" i="3"/>
  <c r="E66" i="3"/>
  <c r="H66" i="3"/>
  <c r="C67" i="3"/>
  <c r="D67" i="3"/>
  <c r="E67" i="3"/>
  <c r="H67" i="3"/>
  <c r="C68" i="3"/>
  <c r="D68" i="3"/>
  <c r="E68" i="3"/>
  <c r="H68" i="3"/>
  <c r="C69" i="3"/>
  <c r="D69" i="3"/>
  <c r="E69" i="3"/>
  <c r="H69" i="3"/>
  <c r="C70" i="3"/>
  <c r="D70" i="3"/>
  <c r="E70" i="3"/>
  <c r="H70" i="3"/>
  <c r="C71" i="3"/>
  <c r="D71" i="3"/>
  <c r="E71" i="3"/>
  <c r="H71" i="3"/>
  <c r="C72" i="3"/>
  <c r="D72" i="3"/>
  <c r="E72" i="3"/>
  <c r="H72" i="3"/>
  <c r="C73" i="3"/>
  <c r="D73" i="3"/>
  <c r="E73" i="3"/>
  <c r="H73" i="3"/>
  <c r="C74" i="3"/>
  <c r="D74" i="3"/>
  <c r="E74" i="3"/>
  <c r="H74" i="3"/>
  <c r="C75" i="3"/>
  <c r="D75" i="3"/>
  <c r="E75" i="3"/>
  <c r="H75" i="3"/>
  <c r="C76" i="3"/>
  <c r="D76" i="3"/>
  <c r="E76" i="3"/>
  <c r="H76" i="3"/>
  <c r="C77" i="3"/>
  <c r="D77" i="3"/>
  <c r="E77" i="3"/>
  <c r="H77" i="3"/>
  <c r="C78" i="3"/>
  <c r="D78" i="3"/>
  <c r="E78" i="3"/>
  <c r="H78" i="3"/>
  <c r="C79" i="3"/>
  <c r="D79" i="3"/>
  <c r="E79" i="3"/>
  <c r="H79" i="3"/>
  <c r="C80" i="3"/>
  <c r="D80" i="3"/>
  <c r="E80" i="3"/>
  <c r="H80" i="3"/>
  <c r="C81" i="3"/>
  <c r="D81" i="3"/>
  <c r="E81" i="3"/>
  <c r="H81" i="3"/>
  <c r="C82" i="3"/>
  <c r="D82" i="3"/>
  <c r="E82" i="3"/>
  <c r="H82" i="3"/>
  <c r="C83" i="3"/>
  <c r="D83" i="3"/>
  <c r="E83" i="3"/>
  <c r="H83" i="3"/>
  <c r="C84" i="3"/>
  <c r="D84" i="3"/>
  <c r="E84" i="3"/>
  <c r="H84" i="3"/>
  <c r="C85" i="3"/>
  <c r="D85" i="3"/>
  <c r="E85" i="3"/>
  <c r="H85" i="3"/>
  <c r="C86" i="3"/>
  <c r="D86" i="3"/>
  <c r="E86" i="3"/>
  <c r="H86" i="3"/>
  <c r="C87" i="3"/>
  <c r="D87" i="3"/>
  <c r="E87" i="3"/>
  <c r="H87" i="3"/>
  <c r="C88" i="3"/>
  <c r="D88" i="3"/>
  <c r="E88" i="3"/>
  <c r="H88" i="3"/>
  <c r="C89" i="3"/>
  <c r="D89" i="3"/>
  <c r="E89" i="3"/>
  <c r="H89" i="3"/>
  <c r="C90" i="3"/>
  <c r="D90" i="3"/>
  <c r="E90" i="3"/>
  <c r="H90" i="3"/>
  <c r="C91" i="3"/>
  <c r="D91" i="3"/>
  <c r="E91" i="3"/>
  <c r="H91" i="3"/>
  <c r="C92" i="3"/>
  <c r="D92" i="3"/>
  <c r="E92" i="3"/>
  <c r="H92" i="3"/>
  <c r="C93" i="3"/>
  <c r="D93" i="3"/>
  <c r="E93" i="3"/>
  <c r="H93" i="3"/>
  <c r="C94" i="3"/>
  <c r="D94" i="3"/>
  <c r="E94" i="3"/>
  <c r="H94" i="3"/>
  <c r="C95" i="3"/>
  <c r="D95" i="3"/>
  <c r="E95" i="3"/>
  <c r="H95" i="3"/>
  <c r="C96" i="3"/>
  <c r="D96" i="3"/>
  <c r="E96" i="3"/>
  <c r="H96" i="3"/>
  <c r="C97" i="3"/>
  <c r="D97" i="3"/>
  <c r="E97" i="3"/>
  <c r="H97" i="3"/>
  <c r="C98" i="3"/>
  <c r="D98" i="3"/>
  <c r="E98" i="3"/>
  <c r="H98" i="3"/>
  <c r="C99" i="3"/>
  <c r="D99" i="3"/>
  <c r="E99" i="3"/>
  <c r="H99" i="3"/>
  <c r="C100" i="3"/>
  <c r="D100" i="3"/>
  <c r="E100" i="3"/>
  <c r="H100" i="3"/>
  <c r="C101" i="3"/>
  <c r="D101" i="3"/>
  <c r="E101" i="3"/>
  <c r="H101" i="3"/>
  <c r="C102" i="3"/>
  <c r="D102" i="3"/>
  <c r="E102" i="3"/>
  <c r="H102" i="3"/>
  <c r="C103" i="3"/>
  <c r="D103" i="3"/>
  <c r="E103" i="3"/>
  <c r="H103" i="3"/>
  <c r="C104" i="3"/>
  <c r="D104" i="3"/>
  <c r="E104" i="3"/>
  <c r="H104" i="3"/>
  <c r="C105" i="3"/>
  <c r="D105" i="3"/>
  <c r="E105" i="3"/>
  <c r="H105" i="3"/>
  <c r="C106" i="3"/>
  <c r="D106" i="3"/>
  <c r="E106" i="3"/>
  <c r="H106" i="3"/>
  <c r="C107" i="3"/>
  <c r="D107" i="3"/>
  <c r="E107" i="3"/>
  <c r="H107" i="3"/>
  <c r="C108" i="3"/>
  <c r="D108" i="3"/>
  <c r="E108" i="3"/>
  <c r="H108" i="3"/>
  <c r="C109" i="3"/>
  <c r="D109" i="3"/>
  <c r="E109" i="3"/>
  <c r="H109" i="3"/>
  <c r="C110" i="3"/>
  <c r="D110" i="3"/>
  <c r="E110" i="3"/>
  <c r="H110" i="3"/>
  <c r="C111" i="3"/>
  <c r="D111" i="3"/>
  <c r="E111" i="3"/>
  <c r="H111" i="3"/>
  <c r="C112" i="3"/>
  <c r="D112" i="3"/>
  <c r="E112" i="3"/>
  <c r="H112" i="3"/>
  <c r="C113" i="3"/>
  <c r="D113" i="3"/>
  <c r="E113" i="3"/>
  <c r="H113" i="3"/>
  <c r="C114" i="3"/>
  <c r="D114" i="3"/>
  <c r="E114" i="3"/>
  <c r="H114" i="3"/>
  <c r="E15" i="3"/>
  <c r="H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4" i="3"/>
  <c r="F15" i="3"/>
  <c r="N7" i="3"/>
  <c r="N6" i="3"/>
  <c r="J6" i="3"/>
  <c r="F6" i="3"/>
  <c r="K5" i="3"/>
  <c r="J5" i="3"/>
  <c r="J3" i="3"/>
  <c r="J1" i="3"/>
  <c r="J4" i="3"/>
  <c r="I7" i="2"/>
  <c r="N14" i="2"/>
  <c r="C14" i="2"/>
  <c r="E15" i="2"/>
  <c r="F15" i="2"/>
  <c r="D15" i="2"/>
  <c r="P15" i="2"/>
  <c r="Q15" i="2"/>
  <c r="N15" i="2"/>
  <c r="C15" i="2"/>
  <c r="E16" i="2"/>
  <c r="F16" i="2"/>
  <c r="D16" i="2"/>
  <c r="P16" i="2"/>
  <c r="Q16" i="2"/>
  <c r="N16" i="2"/>
  <c r="C16" i="2"/>
  <c r="E17" i="2"/>
  <c r="F17" i="2"/>
  <c r="D17" i="2"/>
  <c r="P17" i="2"/>
  <c r="Q17" i="2"/>
  <c r="N17" i="2"/>
  <c r="C17" i="2"/>
  <c r="E18" i="2"/>
  <c r="F18" i="2"/>
  <c r="D18" i="2"/>
  <c r="P18" i="2"/>
  <c r="Q18" i="2"/>
  <c r="N18" i="2"/>
  <c r="C18" i="2"/>
  <c r="E19" i="2"/>
  <c r="F19" i="2"/>
  <c r="D19" i="2"/>
  <c r="P19" i="2"/>
  <c r="Q19" i="2"/>
  <c r="N19" i="2"/>
  <c r="C19" i="2"/>
  <c r="E20" i="2"/>
  <c r="F20" i="2"/>
  <c r="D20" i="2"/>
  <c r="P20" i="2"/>
  <c r="Q20" i="2"/>
  <c r="N20" i="2"/>
  <c r="C20" i="2"/>
  <c r="E21" i="2"/>
  <c r="F21" i="2"/>
  <c r="D21" i="2"/>
  <c r="P21" i="2"/>
  <c r="Q21" i="2"/>
  <c r="N21" i="2"/>
  <c r="C21" i="2"/>
  <c r="E22" i="2"/>
  <c r="F22" i="2"/>
  <c r="D22" i="2"/>
  <c r="P22" i="2"/>
  <c r="Q22" i="2"/>
  <c r="N22" i="2"/>
  <c r="C22" i="2"/>
  <c r="E23" i="2"/>
  <c r="F23" i="2"/>
  <c r="D23" i="2"/>
  <c r="P23" i="2"/>
  <c r="Q23" i="2"/>
  <c r="N23" i="2"/>
  <c r="C23" i="2"/>
  <c r="E24" i="2"/>
  <c r="F24" i="2"/>
  <c r="D24" i="2"/>
  <c r="P24" i="2"/>
  <c r="Q24" i="2"/>
  <c r="N24" i="2"/>
  <c r="C24" i="2"/>
  <c r="E25" i="2"/>
  <c r="F25" i="2"/>
  <c r="D25" i="2"/>
  <c r="P25" i="2"/>
  <c r="Q25" i="2"/>
  <c r="N25" i="2"/>
  <c r="C25" i="2"/>
  <c r="E26" i="2"/>
  <c r="F26" i="2"/>
  <c r="D26" i="2"/>
  <c r="P26" i="2"/>
  <c r="Q26" i="2"/>
  <c r="N26" i="2"/>
  <c r="C26" i="2"/>
  <c r="E27" i="2"/>
  <c r="F27" i="2"/>
  <c r="D27" i="2"/>
  <c r="P27" i="2"/>
  <c r="Q27" i="2"/>
  <c r="N27" i="2"/>
  <c r="C27" i="2"/>
  <c r="E28" i="2"/>
  <c r="F28" i="2"/>
  <c r="D28" i="2"/>
  <c r="P28" i="2"/>
  <c r="Q28" i="2"/>
  <c r="N28" i="2"/>
  <c r="C28" i="2"/>
  <c r="E29" i="2"/>
  <c r="F29" i="2"/>
  <c r="D29" i="2"/>
  <c r="P29" i="2"/>
  <c r="Q29" i="2"/>
  <c r="N29" i="2"/>
  <c r="C29" i="2"/>
  <c r="E30" i="2"/>
  <c r="F30" i="2"/>
  <c r="D30" i="2"/>
  <c r="P30" i="2"/>
  <c r="Q30" i="2"/>
  <c r="N30" i="2"/>
  <c r="C30" i="2"/>
  <c r="E31" i="2"/>
  <c r="F31" i="2"/>
  <c r="D31" i="2"/>
  <c r="P31" i="2"/>
  <c r="Q31" i="2"/>
  <c r="N31" i="2"/>
  <c r="C31" i="2"/>
  <c r="E32" i="2"/>
  <c r="F32" i="2"/>
  <c r="D32" i="2"/>
  <c r="P32" i="2"/>
  <c r="Q32" i="2"/>
  <c r="N32" i="2"/>
  <c r="C32" i="2"/>
  <c r="E33" i="2"/>
  <c r="F33" i="2"/>
  <c r="D33" i="2"/>
  <c r="P33" i="2"/>
  <c r="Q33" i="2"/>
  <c r="N33" i="2"/>
  <c r="C33" i="2"/>
  <c r="E34" i="2"/>
  <c r="F34" i="2"/>
  <c r="D34" i="2"/>
  <c r="P34" i="2"/>
  <c r="Q34" i="2"/>
  <c r="N34" i="2"/>
  <c r="C34" i="2"/>
  <c r="E35" i="2"/>
  <c r="F35" i="2"/>
  <c r="D35" i="2"/>
  <c r="P35" i="2"/>
  <c r="Q35" i="2"/>
  <c r="N35" i="2"/>
  <c r="C35" i="2"/>
  <c r="E36" i="2"/>
  <c r="F36" i="2"/>
  <c r="D36" i="2"/>
  <c r="P36" i="2"/>
  <c r="Q36" i="2"/>
  <c r="N36" i="2"/>
  <c r="C36" i="2"/>
  <c r="E37" i="2"/>
  <c r="F37" i="2"/>
  <c r="D37" i="2"/>
  <c r="P37" i="2"/>
  <c r="Q37" i="2"/>
  <c r="N37" i="2"/>
  <c r="C37" i="2"/>
  <c r="E38" i="2"/>
  <c r="F38" i="2"/>
  <c r="D38" i="2"/>
  <c r="P38" i="2"/>
  <c r="Q38" i="2"/>
  <c r="N38" i="2"/>
  <c r="C38" i="2"/>
  <c r="E39" i="2"/>
  <c r="F39" i="2"/>
  <c r="D39" i="2"/>
  <c r="P39" i="2"/>
  <c r="Q39" i="2"/>
  <c r="N39" i="2"/>
  <c r="C39" i="2"/>
  <c r="E40" i="2"/>
  <c r="F40" i="2"/>
  <c r="D40" i="2"/>
  <c r="P40" i="2"/>
  <c r="Q40" i="2"/>
  <c r="N40" i="2"/>
  <c r="C40" i="2"/>
  <c r="E41" i="2"/>
  <c r="F41" i="2"/>
  <c r="D41" i="2"/>
  <c r="P41" i="2"/>
  <c r="Q41" i="2"/>
  <c r="N41" i="2"/>
  <c r="C41" i="2"/>
  <c r="E42" i="2"/>
  <c r="F42" i="2"/>
  <c r="D42" i="2"/>
  <c r="P42" i="2"/>
  <c r="Q42" i="2"/>
  <c r="N42" i="2"/>
  <c r="C42" i="2"/>
  <c r="E43" i="2"/>
  <c r="F43" i="2"/>
  <c r="D43" i="2"/>
  <c r="P43" i="2"/>
  <c r="Q43" i="2"/>
  <c r="N43" i="2"/>
  <c r="C43" i="2"/>
  <c r="E44" i="2"/>
  <c r="F44" i="2"/>
  <c r="D44" i="2"/>
  <c r="P44" i="2"/>
  <c r="Q44" i="2"/>
  <c r="N44" i="2"/>
  <c r="C44" i="2"/>
  <c r="E45" i="2"/>
  <c r="F45" i="2"/>
  <c r="D45" i="2"/>
  <c r="P45" i="2"/>
  <c r="Q45" i="2"/>
  <c r="N45" i="2"/>
  <c r="C45" i="2"/>
  <c r="E46" i="2"/>
  <c r="F46" i="2"/>
  <c r="D46" i="2"/>
  <c r="P46" i="2"/>
  <c r="Q46" i="2"/>
  <c r="N46" i="2"/>
  <c r="C46" i="2"/>
  <c r="E47" i="2"/>
  <c r="F47" i="2"/>
  <c r="D47" i="2"/>
  <c r="P47" i="2"/>
  <c r="Q47" i="2"/>
  <c r="N47" i="2"/>
  <c r="C47" i="2"/>
  <c r="E48" i="2"/>
  <c r="F48" i="2"/>
  <c r="D48" i="2"/>
  <c r="P48" i="2"/>
  <c r="Q48" i="2"/>
  <c r="N48" i="2"/>
  <c r="C48" i="2"/>
  <c r="E49" i="2"/>
  <c r="F49" i="2"/>
  <c r="D49" i="2"/>
  <c r="P49" i="2"/>
  <c r="Q49" i="2"/>
  <c r="N49" i="2"/>
  <c r="C49" i="2"/>
  <c r="E50" i="2"/>
  <c r="F50" i="2"/>
  <c r="D50" i="2"/>
  <c r="P50" i="2"/>
  <c r="Q50" i="2"/>
  <c r="N50" i="2"/>
  <c r="C50" i="2"/>
  <c r="E51" i="2"/>
  <c r="F51" i="2"/>
  <c r="D51" i="2"/>
  <c r="P51" i="2"/>
  <c r="Q51" i="2"/>
  <c r="N51" i="2"/>
  <c r="C51" i="2"/>
  <c r="E52" i="2"/>
  <c r="F52" i="2"/>
  <c r="D52" i="2"/>
  <c r="P52" i="2"/>
  <c r="Q52" i="2"/>
  <c r="N52" i="2"/>
  <c r="C52" i="2"/>
  <c r="E53" i="2"/>
  <c r="F53" i="2"/>
  <c r="D53" i="2"/>
  <c r="P53" i="2"/>
  <c r="Q53" i="2"/>
  <c r="N53" i="2"/>
  <c r="C53" i="2"/>
  <c r="E54" i="2"/>
  <c r="F54" i="2"/>
  <c r="D54" i="2"/>
  <c r="P54" i="2"/>
  <c r="Q54" i="2"/>
  <c r="N54" i="2"/>
  <c r="C54" i="2"/>
  <c r="E55" i="2"/>
  <c r="F55" i="2"/>
  <c r="D55" i="2"/>
  <c r="P55" i="2"/>
  <c r="Q55" i="2"/>
  <c r="N55" i="2"/>
  <c r="C55" i="2"/>
  <c r="E56" i="2"/>
  <c r="F56" i="2"/>
  <c r="D56" i="2"/>
  <c r="P56" i="2"/>
  <c r="Q56" i="2"/>
  <c r="N56" i="2"/>
  <c r="C56" i="2"/>
  <c r="E57" i="2"/>
  <c r="F57" i="2"/>
  <c r="D57" i="2"/>
  <c r="P57" i="2"/>
  <c r="Q57" i="2"/>
  <c r="N57" i="2"/>
  <c r="C57" i="2"/>
  <c r="E58" i="2"/>
  <c r="F58" i="2"/>
  <c r="D58" i="2"/>
  <c r="P58" i="2"/>
  <c r="Q58" i="2"/>
  <c r="N58" i="2"/>
  <c r="C58" i="2"/>
  <c r="E59" i="2"/>
  <c r="F59" i="2"/>
  <c r="D59" i="2"/>
  <c r="P59" i="2"/>
  <c r="Q59" i="2"/>
  <c r="N59" i="2"/>
  <c r="C59" i="2"/>
  <c r="E60" i="2"/>
  <c r="F60" i="2"/>
  <c r="D60" i="2"/>
  <c r="P60" i="2"/>
  <c r="Q60" i="2"/>
  <c r="N60" i="2"/>
  <c r="C60" i="2"/>
  <c r="E61" i="2"/>
  <c r="F61" i="2"/>
  <c r="D61" i="2"/>
  <c r="P61" i="2"/>
  <c r="Q61" i="2"/>
  <c r="N61" i="2"/>
  <c r="C61" i="2"/>
  <c r="E62" i="2"/>
  <c r="F62" i="2"/>
  <c r="D62" i="2"/>
  <c r="P62" i="2"/>
  <c r="Q62" i="2"/>
  <c r="N62" i="2"/>
  <c r="C62" i="2"/>
  <c r="E63" i="2"/>
  <c r="F63" i="2"/>
  <c r="D63" i="2"/>
  <c r="P63" i="2"/>
  <c r="Q63" i="2"/>
  <c r="N63" i="2"/>
  <c r="C63" i="2"/>
  <c r="E64" i="2"/>
  <c r="F64" i="2"/>
  <c r="D64" i="2"/>
  <c r="P64" i="2"/>
  <c r="Q64" i="2"/>
  <c r="N64" i="2"/>
  <c r="C64" i="2"/>
  <c r="E65" i="2"/>
  <c r="F65" i="2"/>
  <c r="D65" i="2"/>
  <c r="P65" i="2"/>
  <c r="Q65" i="2"/>
  <c r="N65" i="2"/>
  <c r="C65" i="2"/>
  <c r="E66" i="2"/>
  <c r="F66" i="2"/>
  <c r="D66" i="2"/>
  <c r="P66" i="2"/>
  <c r="Q66" i="2"/>
  <c r="N66" i="2"/>
  <c r="C66" i="2"/>
  <c r="E67" i="2"/>
  <c r="F67" i="2"/>
  <c r="D67" i="2"/>
  <c r="P67" i="2"/>
  <c r="Q67" i="2"/>
  <c r="N67" i="2"/>
  <c r="C67" i="2"/>
  <c r="E68" i="2"/>
  <c r="F68" i="2"/>
  <c r="D68" i="2"/>
  <c r="P68" i="2"/>
  <c r="Q68" i="2"/>
  <c r="N68" i="2"/>
  <c r="C68" i="2"/>
  <c r="E69" i="2"/>
  <c r="F69" i="2"/>
  <c r="D69" i="2"/>
  <c r="P69" i="2"/>
  <c r="Q69" i="2"/>
  <c r="N69" i="2"/>
  <c r="C69" i="2"/>
  <c r="E70" i="2"/>
  <c r="F70" i="2"/>
  <c r="D70" i="2"/>
  <c r="P70" i="2"/>
  <c r="Q70" i="2"/>
  <c r="N70" i="2"/>
  <c r="C70" i="2"/>
  <c r="E71" i="2"/>
  <c r="F71" i="2"/>
  <c r="D71" i="2"/>
  <c r="P71" i="2"/>
  <c r="Q71" i="2"/>
  <c r="N71" i="2"/>
  <c r="C71" i="2"/>
  <c r="E72" i="2"/>
  <c r="F72" i="2"/>
  <c r="D72" i="2"/>
  <c r="P72" i="2"/>
  <c r="Q72" i="2"/>
  <c r="N72" i="2"/>
  <c r="C72" i="2"/>
  <c r="E73" i="2"/>
  <c r="F73" i="2"/>
  <c r="D73" i="2"/>
  <c r="P73" i="2"/>
  <c r="Q73" i="2"/>
  <c r="N73" i="2"/>
  <c r="C73" i="2"/>
  <c r="E74" i="2"/>
  <c r="F74" i="2"/>
  <c r="D74" i="2"/>
  <c r="P74" i="2"/>
  <c r="Q74" i="2"/>
  <c r="N74" i="2"/>
  <c r="C74" i="2"/>
  <c r="E75" i="2"/>
  <c r="F75" i="2"/>
  <c r="D75" i="2"/>
  <c r="P75" i="2"/>
  <c r="Q75" i="2"/>
  <c r="N75" i="2"/>
  <c r="C75" i="2"/>
  <c r="E76" i="2"/>
  <c r="F76" i="2"/>
  <c r="D76" i="2"/>
  <c r="P76" i="2"/>
  <c r="Q76" i="2"/>
  <c r="N76" i="2"/>
  <c r="C76" i="2"/>
  <c r="E77" i="2"/>
  <c r="F77" i="2"/>
  <c r="D77" i="2"/>
  <c r="P77" i="2"/>
  <c r="Q77" i="2"/>
  <c r="N77" i="2"/>
  <c r="C77" i="2"/>
  <c r="E78" i="2"/>
  <c r="F78" i="2"/>
  <c r="D78" i="2"/>
  <c r="P78" i="2"/>
  <c r="Q78" i="2"/>
  <c r="N78" i="2"/>
  <c r="C78" i="2"/>
  <c r="E79" i="2"/>
  <c r="F79" i="2"/>
  <c r="D79" i="2"/>
  <c r="P79" i="2"/>
  <c r="Q79" i="2"/>
  <c r="N79" i="2"/>
  <c r="C79" i="2"/>
  <c r="E80" i="2"/>
  <c r="F80" i="2"/>
  <c r="D80" i="2"/>
  <c r="P80" i="2"/>
  <c r="Q80" i="2"/>
  <c r="N80" i="2"/>
  <c r="C80" i="2"/>
  <c r="E81" i="2"/>
  <c r="F81" i="2"/>
  <c r="D81" i="2"/>
  <c r="P81" i="2"/>
  <c r="Q81" i="2"/>
  <c r="N81" i="2"/>
  <c r="C81" i="2"/>
  <c r="E82" i="2"/>
  <c r="F82" i="2"/>
  <c r="D82" i="2"/>
  <c r="P82" i="2"/>
  <c r="Q82" i="2"/>
  <c r="N82" i="2"/>
  <c r="C82" i="2"/>
  <c r="E83" i="2"/>
  <c r="F83" i="2"/>
  <c r="D83" i="2"/>
  <c r="P83" i="2"/>
  <c r="Q83" i="2"/>
  <c r="N83" i="2"/>
  <c r="C83" i="2"/>
  <c r="E84" i="2"/>
  <c r="F84" i="2"/>
  <c r="D84" i="2"/>
  <c r="P84" i="2"/>
  <c r="Q84" i="2"/>
  <c r="N84" i="2"/>
  <c r="C84" i="2"/>
  <c r="E85" i="2"/>
  <c r="F85" i="2"/>
  <c r="D85" i="2"/>
  <c r="P85" i="2"/>
  <c r="Q85" i="2"/>
  <c r="N85" i="2"/>
  <c r="C85" i="2"/>
  <c r="E86" i="2"/>
  <c r="F86" i="2"/>
  <c r="D86" i="2"/>
  <c r="P86" i="2"/>
  <c r="Q86" i="2"/>
  <c r="N86" i="2"/>
  <c r="C86" i="2"/>
  <c r="E87" i="2"/>
  <c r="F87" i="2"/>
  <c r="D87" i="2"/>
  <c r="P87" i="2"/>
  <c r="Q87" i="2"/>
  <c r="N87" i="2"/>
  <c r="C87" i="2"/>
  <c r="E88" i="2"/>
  <c r="F88" i="2"/>
  <c r="D88" i="2"/>
  <c r="P88" i="2"/>
  <c r="Q88" i="2"/>
  <c r="N88" i="2"/>
  <c r="C88" i="2"/>
  <c r="E89" i="2"/>
  <c r="F89" i="2"/>
  <c r="D89" i="2"/>
  <c r="P89" i="2"/>
  <c r="Q89" i="2"/>
  <c r="N89" i="2"/>
  <c r="C89" i="2"/>
  <c r="E90" i="2"/>
  <c r="F90" i="2"/>
  <c r="D90" i="2"/>
  <c r="P90" i="2"/>
  <c r="Q90" i="2"/>
  <c r="N90" i="2"/>
  <c r="C90" i="2"/>
  <c r="E91" i="2"/>
  <c r="F91" i="2"/>
  <c r="D91" i="2"/>
  <c r="P91" i="2"/>
  <c r="Q91" i="2"/>
  <c r="N91" i="2"/>
  <c r="C91" i="2"/>
  <c r="E92" i="2"/>
  <c r="F92" i="2"/>
  <c r="D92" i="2"/>
  <c r="P92" i="2"/>
  <c r="Q92" i="2"/>
  <c r="N92" i="2"/>
  <c r="C92" i="2"/>
  <c r="E93" i="2"/>
  <c r="F93" i="2"/>
  <c r="D93" i="2"/>
  <c r="P93" i="2"/>
  <c r="Q93" i="2"/>
  <c r="N93" i="2"/>
  <c r="C93" i="2"/>
  <c r="E94" i="2"/>
  <c r="F94" i="2"/>
  <c r="D94" i="2"/>
  <c r="P94" i="2"/>
  <c r="Q94" i="2"/>
  <c r="N94" i="2"/>
  <c r="C94" i="2"/>
  <c r="E95" i="2"/>
  <c r="F95" i="2"/>
  <c r="D95" i="2"/>
  <c r="P95" i="2"/>
  <c r="Q95" i="2"/>
  <c r="N95" i="2"/>
  <c r="C95" i="2"/>
  <c r="E96" i="2"/>
  <c r="F96" i="2"/>
  <c r="D96" i="2"/>
  <c r="P96" i="2"/>
  <c r="Q96" i="2"/>
  <c r="N96" i="2"/>
  <c r="C96" i="2"/>
  <c r="E97" i="2"/>
  <c r="F97" i="2"/>
  <c r="D97" i="2"/>
  <c r="P97" i="2"/>
  <c r="Q97" i="2"/>
  <c r="N97" i="2"/>
  <c r="C97" i="2"/>
  <c r="E98" i="2"/>
  <c r="F98" i="2"/>
  <c r="D98" i="2"/>
  <c r="P98" i="2"/>
  <c r="Q98" i="2"/>
  <c r="N98" i="2"/>
  <c r="C98" i="2"/>
  <c r="E99" i="2"/>
  <c r="F99" i="2"/>
  <c r="D99" i="2"/>
  <c r="P99" i="2"/>
  <c r="Q99" i="2"/>
  <c r="N99" i="2"/>
  <c r="C99" i="2"/>
  <c r="E100" i="2"/>
  <c r="F100" i="2"/>
  <c r="D100" i="2"/>
  <c r="P100" i="2"/>
  <c r="Q100" i="2"/>
  <c r="N100" i="2"/>
  <c r="C100" i="2"/>
  <c r="E101" i="2"/>
  <c r="F101" i="2"/>
  <c r="D101" i="2"/>
  <c r="P101" i="2"/>
  <c r="Q101" i="2"/>
  <c r="N101" i="2"/>
  <c r="C101" i="2"/>
  <c r="E102" i="2"/>
  <c r="F102" i="2"/>
  <c r="D102" i="2"/>
  <c r="P102" i="2"/>
  <c r="Q102" i="2"/>
  <c r="N102" i="2"/>
  <c r="C102" i="2"/>
  <c r="E103" i="2"/>
  <c r="F103" i="2"/>
  <c r="D103" i="2"/>
  <c r="P103" i="2"/>
  <c r="Q103" i="2"/>
  <c r="N103" i="2"/>
  <c r="C103" i="2"/>
  <c r="E104" i="2"/>
  <c r="F104" i="2"/>
  <c r="D104" i="2"/>
  <c r="P104" i="2"/>
  <c r="Q104" i="2"/>
  <c r="N104" i="2"/>
  <c r="C104" i="2"/>
  <c r="E105" i="2"/>
  <c r="F105" i="2"/>
  <c r="D105" i="2"/>
  <c r="P105" i="2"/>
  <c r="Q105" i="2"/>
  <c r="N105" i="2"/>
  <c r="C105" i="2"/>
  <c r="E106" i="2"/>
  <c r="F106" i="2"/>
  <c r="D106" i="2"/>
  <c r="P106" i="2"/>
  <c r="Q106" i="2"/>
  <c r="N106" i="2"/>
  <c r="C106" i="2"/>
  <c r="E107" i="2"/>
  <c r="F107" i="2"/>
  <c r="D107" i="2"/>
  <c r="P107" i="2"/>
  <c r="Q107" i="2"/>
  <c r="N107" i="2"/>
  <c r="C107" i="2"/>
  <c r="E108" i="2"/>
  <c r="F108" i="2"/>
  <c r="D108" i="2"/>
  <c r="P108" i="2"/>
  <c r="Q108" i="2"/>
  <c r="N108" i="2"/>
  <c r="C108" i="2"/>
  <c r="E109" i="2"/>
  <c r="F109" i="2"/>
  <c r="D109" i="2"/>
  <c r="P109" i="2"/>
  <c r="Q109" i="2"/>
  <c r="N109" i="2"/>
  <c r="C109" i="2"/>
  <c r="E110" i="2"/>
  <c r="F110" i="2"/>
  <c r="D110" i="2"/>
  <c r="P110" i="2"/>
  <c r="Q110" i="2"/>
  <c r="N110" i="2"/>
  <c r="C110" i="2"/>
  <c r="E111" i="2"/>
  <c r="F111" i="2"/>
  <c r="D111" i="2"/>
  <c r="P111" i="2"/>
  <c r="Q111" i="2"/>
  <c r="N111" i="2"/>
  <c r="C111" i="2"/>
  <c r="E112" i="2"/>
  <c r="F112" i="2"/>
  <c r="D112" i="2"/>
  <c r="P112" i="2"/>
  <c r="Q112" i="2"/>
  <c r="N112" i="2"/>
  <c r="C112" i="2"/>
  <c r="E113" i="2"/>
  <c r="F113" i="2"/>
  <c r="D113" i="2"/>
  <c r="P113" i="2"/>
  <c r="Q113" i="2"/>
  <c r="N113" i="2"/>
  <c r="C113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4" i="2"/>
  <c r="Q14" i="2"/>
  <c r="U2" i="2"/>
  <c r="M113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4" i="2"/>
  <c r="K14" i="2"/>
  <c r="I3" i="2"/>
  <c r="I6" i="2"/>
  <c r="I4" i="2"/>
  <c r="I2" i="2"/>
  <c r="L6" i="2"/>
  <c r="L7" i="2"/>
  <c r="P6" i="2"/>
  <c r="C13" i="2"/>
  <c r="P7" i="2"/>
  <c r="P8" i="2"/>
  <c r="E14" i="2"/>
  <c r="F14" i="2"/>
  <c r="D14" i="2"/>
  <c r="P14" i="2"/>
  <c r="L113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F13" i="2"/>
  <c r="G13" i="2"/>
  <c r="I5" i="2"/>
  <c r="N3" i="2"/>
  <c r="N2" i="2"/>
  <c r="O7" i="1"/>
  <c r="S6" i="1"/>
  <c r="S7" i="1"/>
  <c r="S8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G58" i="1"/>
  <c r="H58" i="1"/>
  <c r="I58" i="1"/>
  <c r="G59" i="1"/>
  <c r="H59" i="1"/>
  <c r="I59" i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/>
  <c r="G71" i="1"/>
  <c r="H71" i="1"/>
  <c r="I71" i="1"/>
  <c r="G72" i="1"/>
  <c r="H72" i="1"/>
  <c r="I72" i="1"/>
  <c r="G73" i="1"/>
  <c r="H73" i="1"/>
  <c r="I73" i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/>
  <c r="G88" i="1"/>
  <c r="H88" i="1"/>
  <c r="I88" i="1"/>
  <c r="G89" i="1"/>
  <c r="H89" i="1"/>
  <c r="I89" i="1"/>
  <c r="G90" i="1"/>
  <c r="H90" i="1"/>
  <c r="I90" i="1"/>
  <c r="G91" i="1"/>
  <c r="H91" i="1"/>
  <c r="I91" i="1"/>
  <c r="G92" i="1"/>
  <c r="H92" i="1"/>
  <c r="I92" i="1"/>
  <c r="G93" i="1"/>
  <c r="H93" i="1"/>
  <c r="I93" i="1"/>
  <c r="G94" i="1"/>
  <c r="H94" i="1"/>
  <c r="I94" i="1"/>
  <c r="G95" i="1"/>
  <c r="H95" i="1"/>
  <c r="I95" i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G110" i="1"/>
  <c r="H110" i="1"/>
  <c r="I110" i="1"/>
  <c r="G111" i="1"/>
  <c r="H111" i="1"/>
  <c r="I111" i="1"/>
  <c r="G112" i="1"/>
  <c r="H112" i="1"/>
  <c r="I112" i="1"/>
  <c r="G113" i="1"/>
  <c r="H113" i="1"/>
  <c r="I113" i="1"/>
  <c r="O6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I13" i="1"/>
  <c r="H13" i="1"/>
  <c r="I7" i="1"/>
  <c r="Q3" i="1"/>
  <c r="I6" i="1"/>
  <c r="Q2" i="1"/>
  <c r="C15" i="1"/>
  <c r="D15" i="1"/>
  <c r="E15" i="1"/>
  <c r="F15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24" i="1"/>
  <c r="D24" i="1"/>
  <c r="E24" i="1"/>
  <c r="F24" i="1"/>
  <c r="C25" i="1"/>
  <c r="D25" i="1"/>
  <c r="E25" i="1"/>
  <c r="F25" i="1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C41" i="1"/>
  <c r="D41" i="1"/>
  <c r="E41" i="1"/>
  <c r="F41" i="1"/>
  <c r="C42" i="1"/>
  <c r="D42" i="1"/>
  <c r="E42" i="1"/>
  <c r="F42" i="1"/>
  <c r="C43" i="1"/>
  <c r="D43" i="1"/>
  <c r="E43" i="1"/>
  <c r="F43" i="1"/>
  <c r="C44" i="1"/>
  <c r="D44" i="1"/>
  <c r="E44" i="1"/>
  <c r="F44" i="1"/>
  <c r="C45" i="1"/>
  <c r="D45" i="1"/>
  <c r="E45" i="1"/>
  <c r="F45" i="1"/>
  <c r="C46" i="1"/>
  <c r="D46" i="1"/>
  <c r="E46" i="1"/>
  <c r="F46" i="1"/>
  <c r="C47" i="1"/>
  <c r="D47" i="1"/>
  <c r="E47" i="1"/>
  <c r="F47" i="1"/>
  <c r="C48" i="1"/>
  <c r="D48" i="1"/>
  <c r="E48" i="1"/>
  <c r="F48" i="1"/>
  <c r="C49" i="1"/>
  <c r="D49" i="1"/>
  <c r="E49" i="1"/>
  <c r="F49" i="1"/>
  <c r="C50" i="1"/>
  <c r="D50" i="1"/>
  <c r="E50" i="1"/>
  <c r="F50" i="1"/>
  <c r="C51" i="1"/>
  <c r="D51" i="1"/>
  <c r="E51" i="1"/>
  <c r="F51" i="1"/>
  <c r="C52" i="1"/>
  <c r="D52" i="1"/>
  <c r="E52" i="1"/>
  <c r="F52" i="1"/>
  <c r="C53" i="1"/>
  <c r="D53" i="1"/>
  <c r="E53" i="1"/>
  <c r="F53" i="1"/>
  <c r="C54" i="1"/>
  <c r="D54" i="1"/>
  <c r="E54" i="1"/>
  <c r="F54" i="1"/>
  <c r="C55" i="1"/>
  <c r="D55" i="1"/>
  <c r="E55" i="1"/>
  <c r="F55" i="1"/>
  <c r="C56" i="1"/>
  <c r="D56" i="1"/>
  <c r="E56" i="1"/>
  <c r="F56" i="1"/>
  <c r="C57" i="1"/>
  <c r="D57" i="1"/>
  <c r="E57" i="1"/>
  <c r="F57" i="1"/>
  <c r="C58" i="1"/>
  <c r="D58" i="1"/>
  <c r="E58" i="1"/>
  <c r="F58" i="1"/>
  <c r="C59" i="1"/>
  <c r="D59" i="1"/>
  <c r="E59" i="1"/>
  <c r="F59" i="1"/>
  <c r="C60" i="1"/>
  <c r="D60" i="1"/>
  <c r="E60" i="1"/>
  <c r="F60" i="1"/>
  <c r="C61" i="1"/>
  <c r="D61" i="1"/>
  <c r="E61" i="1"/>
  <c r="F61" i="1"/>
  <c r="C62" i="1"/>
  <c r="D62" i="1"/>
  <c r="E62" i="1"/>
  <c r="F62" i="1"/>
  <c r="C63" i="1"/>
  <c r="D63" i="1"/>
  <c r="E63" i="1"/>
  <c r="F63" i="1"/>
  <c r="F64" i="1"/>
  <c r="F65" i="1"/>
  <c r="F66" i="1"/>
  <c r="F67" i="1"/>
  <c r="F68" i="1"/>
  <c r="F69" i="1"/>
  <c r="F70" i="1"/>
  <c r="F71" i="1"/>
  <c r="F72" i="1"/>
  <c r="F73" i="1"/>
  <c r="F74" i="1"/>
  <c r="C75" i="1"/>
  <c r="D75" i="1"/>
  <c r="E75" i="1"/>
  <c r="F75" i="1"/>
  <c r="C76" i="1"/>
  <c r="D76" i="1"/>
  <c r="E76" i="1"/>
  <c r="F76" i="1"/>
  <c r="C77" i="1"/>
  <c r="D77" i="1"/>
  <c r="E77" i="1"/>
  <c r="F77" i="1"/>
  <c r="C78" i="1"/>
  <c r="D78" i="1"/>
  <c r="E78" i="1"/>
  <c r="F78" i="1"/>
  <c r="C79" i="1"/>
  <c r="D79" i="1"/>
  <c r="E79" i="1"/>
  <c r="F79" i="1"/>
  <c r="C80" i="1"/>
  <c r="D80" i="1"/>
  <c r="E80" i="1"/>
  <c r="F80" i="1"/>
  <c r="C81" i="1"/>
  <c r="D81" i="1"/>
  <c r="E81" i="1"/>
  <c r="F81" i="1"/>
  <c r="C82" i="1"/>
  <c r="D82" i="1"/>
  <c r="E82" i="1"/>
  <c r="F82" i="1"/>
  <c r="C83" i="1"/>
  <c r="D83" i="1"/>
  <c r="E83" i="1"/>
  <c r="F83" i="1"/>
  <c r="C84" i="1"/>
  <c r="D84" i="1"/>
  <c r="E84" i="1"/>
  <c r="F84" i="1"/>
  <c r="C85" i="1"/>
  <c r="D85" i="1"/>
  <c r="E85" i="1"/>
  <c r="F85" i="1"/>
  <c r="C86" i="1"/>
  <c r="D86" i="1"/>
  <c r="E86" i="1"/>
  <c r="F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C91" i="1"/>
  <c r="D91" i="1"/>
  <c r="E91" i="1"/>
  <c r="F91" i="1"/>
  <c r="C92" i="1"/>
  <c r="D92" i="1"/>
  <c r="E92" i="1"/>
  <c r="F92" i="1"/>
  <c r="C93" i="1"/>
  <c r="D93" i="1"/>
  <c r="E93" i="1"/>
  <c r="F93" i="1"/>
  <c r="C94" i="1"/>
  <c r="D94" i="1"/>
  <c r="E94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C14" i="1"/>
  <c r="D14" i="1"/>
  <c r="E14" i="1"/>
  <c r="F14" i="1"/>
  <c r="I3" i="1"/>
  <c r="I4" i="1"/>
  <c r="C64" i="1"/>
  <c r="C65" i="1"/>
  <c r="C66" i="1"/>
  <c r="C67" i="1"/>
  <c r="C68" i="1"/>
  <c r="C69" i="1"/>
  <c r="C70" i="1"/>
  <c r="C71" i="1"/>
  <c r="C72" i="1"/>
  <c r="C73" i="1"/>
  <c r="C7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I5" i="1"/>
  <c r="I2" i="1"/>
  <c r="K1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F114" i="7"/>
  <c r="I114" i="7"/>
  <c r="H114" i="7"/>
  <c r="F113" i="7"/>
  <c r="I113" i="7"/>
  <c r="H113" i="7"/>
  <c r="F112" i="7"/>
  <c r="I112" i="7"/>
  <c r="H112" i="7"/>
  <c r="F111" i="7"/>
  <c r="I111" i="7"/>
  <c r="H111" i="7"/>
  <c r="F110" i="7"/>
  <c r="I110" i="7"/>
  <c r="H110" i="7"/>
  <c r="F109" i="7"/>
  <c r="I109" i="7"/>
  <c r="H109" i="7"/>
  <c r="F108" i="7"/>
  <c r="I108" i="7"/>
  <c r="H108" i="7"/>
  <c r="F107" i="7"/>
  <c r="I107" i="7"/>
  <c r="H107" i="7"/>
  <c r="F106" i="7"/>
  <c r="I106" i="7"/>
  <c r="H106" i="7"/>
  <c r="F105" i="7"/>
  <c r="I105" i="7"/>
  <c r="H105" i="7"/>
  <c r="F104" i="7"/>
  <c r="I104" i="7"/>
  <c r="H104" i="7"/>
  <c r="F103" i="7"/>
  <c r="I103" i="7"/>
  <c r="H103" i="7"/>
  <c r="F102" i="7"/>
  <c r="I102" i="7"/>
  <c r="H102" i="7"/>
  <c r="F101" i="7"/>
  <c r="I101" i="7"/>
  <c r="H101" i="7"/>
  <c r="F100" i="7"/>
  <c r="I100" i="7"/>
  <c r="H100" i="7"/>
  <c r="F99" i="7"/>
  <c r="I99" i="7"/>
  <c r="H99" i="7"/>
  <c r="F98" i="7"/>
  <c r="I98" i="7"/>
  <c r="H98" i="7"/>
  <c r="F97" i="7"/>
  <c r="I97" i="7"/>
  <c r="H97" i="7"/>
  <c r="F96" i="7"/>
  <c r="I96" i="7"/>
  <c r="H96" i="7"/>
  <c r="F95" i="7"/>
  <c r="I95" i="7"/>
  <c r="H95" i="7"/>
  <c r="F94" i="7"/>
  <c r="I94" i="7"/>
  <c r="H94" i="7"/>
  <c r="F93" i="7"/>
  <c r="I93" i="7"/>
  <c r="H93" i="7"/>
  <c r="F92" i="7"/>
  <c r="I92" i="7"/>
  <c r="H92" i="7"/>
  <c r="F91" i="7"/>
  <c r="I91" i="7"/>
  <c r="H91" i="7"/>
  <c r="F90" i="7"/>
  <c r="I90" i="7"/>
  <c r="H90" i="7"/>
  <c r="F89" i="7"/>
  <c r="I89" i="7"/>
  <c r="H89" i="7"/>
  <c r="F88" i="7"/>
  <c r="I88" i="7"/>
  <c r="H88" i="7"/>
  <c r="F87" i="7"/>
  <c r="I87" i="7"/>
  <c r="H87" i="7"/>
  <c r="F86" i="7"/>
  <c r="I86" i="7"/>
  <c r="H86" i="7"/>
  <c r="F85" i="7"/>
  <c r="I85" i="7"/>
  <c r="H85" i="7"/>
  <c r="F84" i="7"/>
  <c r="I84" i="7"/>
  <c r="H84" i="7"/>
  <c r="F83" i="7"/>
  <c r="I83" i="7"/>
  <c r="H83" i="7"/>
  <c r="F82" i="7"/>
  <c r="I82" i="7"/>
  <c r="H82" i="7"/>
  <c r="F81" i="7"/>
  <c r="I81" i="7"/>
  <c r="H81" i="7"/>
  <c r="F80" i="7"/>
  <c r="I80" i="7"/>
  <c r="H80" i="7"/>
  <c r="F79" i="7"/>
  <c r="I79" i="7"/>
  <c r="H79" i="7"/>
  <c r="F78" i="7"/>
  <c r="I78" i="7"/>
  <c r="H78" i="7"/>
  <c r="F77" i="7"/>
  <c r="I77" i="7"/>
  <c r="H77" i="7"/>
  <c r="F76" i="7"/>
  <c r="I76" i="7"/>
  <c r="H76" i="7"/>
  <c r="F75" i="7"/>
  <c r="I75" i="7"/>
  <c r="H75" i="7"/>
  <c r="F74" i="7"/>
  <c r="I74" i="7"/>
  <c r="H74" i="7"/>
  <c r="F73" i="7"/>
  <c r="I73" i="7"/>
  <c r="H73" i="7"/>
  <c r="F72" i="7"/>
  <c r="I72" i="7"/>
  <c r="H72" i="7"/>
  <c r="F71" i="7"/>
  <c r="I71" i="7"/>
  <c r="H71" i="7"/>
  <c r="F70" i="7"/>
  <c r="I70" i="7"/>
  <c r="H70" i="7"/>
  <c r="F69" i="7"/>
  <c r="I69" i="7"/>
  <c r="H69" i="7"/>
  <c r="F68" i="7"/>
  <c r="I68" i="7"/>
  <c r="H68" i="7"/>
  <c r="F67" i="7"/>
  <c r="I67" i="7"/>
  <c r="H67" i="7"/>
  <c r="F66" i="7"/>
  <c r="I66" i="7"/>
  <c r="H66" i="7"/>
  <c r="F65" i="7"/>
  <c r="I65" i="7"/>
  <c r="H65" i="7"/>
  <c r="F64" i="7"/>
  <c r="I64" i="7"/>
  <c r="H64" i="7"/>
  <c r="F63" i="7"/>
  <c r="I63" i="7"/>
  <c r="H63" i="7"/>
  <c r="F62" i="7"/>
  <c r="I62" i="7"/>
  <c r="H62" i="7"/>
  <c r="F61" i="7"/>
  <c r="I61" i="7"/>
  <c r="H61" i="7"/>
  <c r="F60" i="7"/>
  <c r="I60" i="7"/>
  <c r="H60" i="7"/>
  <c r="F59" i="7"/>
  <c r="I59" i="7"/>
  <c r="H59" i="7"/>
  <c r="F58" i="7"/>
  <c r="I58" i="7"/>
  <c r="H58" i="7"/>
  <c r="F57" i="7"/>
  <c r="I57" i="7"/>
  <c r="H57" i="7"/>
  <c r="F56" i="7"/>
  <c r="I56" i="7"/>
  <c r="H56" i="7"/>
  <c r="F55" i="7"/>
  <c r="I55" i="7"/>
  <c r="H55" i="7"/>
  <c r="F54" i="7"/>
  <c r="I54" i="7"/>
  <c r="H54" i="7"/>
  <c r="F53" i="7"/>
  <c r="I53" i="7"/>
  <c r="H53" i="7"/>
  <c r="F52" i="7"/>
  <c r="I52" i="7"/>
  <c r="H52" i="7"/>
  <c r="F51" i="7"/>
  <c r="I51" i="7"/>
  <c r="H51" i="7"/>
  <c r="F50" i="7"/>
  <c r="I50" i="7"/>
  <c r="H50" i="7"/>
  <c r="F49" i="7"/>
  <c r="I49" i="7"/>
  <c r="H49" i="7"/>
  <c r="F48" i="7"/>
  <c r="I48" i="7"/>
  <c r="H48" i="7"/>
  <c r="F47" i="7"/>
  <c r="I47" i="7"/>
  <c r="H47" i="7"/>
  <c r="F46" i="7"/>
  <c r="I46" i="7"/>
  <c r="H46" i="7"/>
  <c r="F45" i="7"/>
  <c r="I45" i="7"/>
  <c r="H45" i="7"/>
  <c r="F44" i="7"/>
  <c r="I44" i="7"/>
  <c r="H44" i="7"/>
  <c r="F43" i="7"/>
  <c r="I43" i="7"/>
  <c r="H43" i="7"/>
  <c r="F42" i="7"/>
  <c r="I42" i="7"/>
  <c r="H42" i="7"/>
  <c r="F41" i="7"/>
  <c r="I41" i="7"/>
  <c r="H41" i="7"/>
  <c r="F40" i="7"/>
  <c r="I40" i="7"/>
  <c r="H40" i="7"/>
  <c r="F39" i="7"/>
  <c r="I39" i="7"/>
  <c r="H39" i="7"/>
  <c r="F38" i="7"/>
  <c r="I38" i="7"/>
  <c r="H38" i="7"/>
  <c r="F37" i="7"/>
  <c r="I37" i="7"/>
  <c r="H37" i="7"/>
  <c r="F36" i="7"/>
  <c r="I36" i="7"/>
  <c r="H36" i="7"/>
  <c r="F35" i="7"/>
  <c r="I35" i="7"/>
  <c r="H35" i="7"/>
  <c r="F34" i="7"/>
  <c r="I34" i="7"/>
  <c r="H34" i="7"/>
  <c r="F33" i="7"/>
  <c r="I33" i="7"/>
  <c r="H33" i="7"/>
  <c r="F32" i="7"/>
  <c r="I32" i="7"/>
  <c r="H32" i="7"/>
  <c r="F31" i="7"/>
  <c r="I31" i="7"/>
  <c r="H31" i="7"/>
  <c r="F30" i="7"/>
  <c r="I30" i="7"/>
  <c r="H30" i="7"/>
  <c r="F29" i="7"/>
  <c r="I29" i="7"/>
  <c r="H29" i="7"/>
  <c r="F28" i="7"/>
  <c r="I28" i="7"/>
  <c r="H28" i="7"/>
  <c r="F27" i="7"/>
  <c r="I27" i="7"/>
  <c r="H27" i="7"/>
  <c r="F26" i="7"/>
  <c r="I26" i="7"/>
  <c r="H26" i="7"/>
  <c r="F25" i="7"/>
  <c r="I25" i="7"/>
  <c r="H25" i="7"/>
  <c r="F24" i="7"/>
  <c r="I24" i="7"/>
  <c r="H24" i="7"/>
  <c r="F23" i="7"/>
  <c r="I23" i="7"/>
  <c r="H23" i="7"/>
  <c r="F22" i="7"/>
  <c r="I22" i="7"/>
  <c r="H22" i="7"/>
  <c r="F21" i="7"/>
  <c r="I21" i="7"/>
  <c r="H21" i="7"/>
  <c r="F20" i="7"/>
  <c r="I20" i="7"/>
  <c r="H20" i="7"/>
  <c r="F19" i="7"/>
  <c r="I19" i="7"/>
  <c r="H19" i="7"/>
  <c r="F18" i="7"/>
  <c r="I18" i="7"/>
  <c r="H18" i="7"/>
  <c r="F17" i="7"/>
  <c r="I17" i="7"/>
  <c r="H17" i="7"/>
  <c r="F16" i="7"/>
  <c r="I16" i="7"/>
  <c r="H16" i="7"/>
  <c r="F15" i="7"/>
  <c r="I15" i="7"/>
  <c r="H15" i="7"/>
  <c r="G15" i="7"/>
  <c r="K16" i="9"/>
  <c r="L16" i="9"/>
  <c r="M16" i="9"/>
  <c r="D16" i="9"/>
  <c r="E16" i="9"/>
  <c r="R17" i="9"/>
  <c r="S17" i="9"/>
  <c r="Q17" i="9"/>
  <c r="K115" i="9"/>
  <c r="L115" i="9"/>
  <c r="M115" i="9"/>
  <c r="D115" i="9"/>
  <c r="E115" i="9"/>
  <c r="F115" i="9"/>
  <c r="G115" i="9"/>
  <c r="P115" i="9"/>
  <c r="O115" i="9"/>
  <c r="N115" i="9"/>
  <c r="P114" i="9"/>
  <c r="O114" i="9"/>
  <c r="N114" i="9"/>
  <c r="P113" i="9"/>
  <c r="O113" i="9"/>
  <c r="N113" i="9"/>
  <c r="P112" i="9"/>
  <c r="O112" i="9"/>
  <c r="N112" i="9"/>
  <c r="P111" i="9"/>
  <c r="O111" i="9"/>
  <c r="N111" i="9"/>
  <c r="P110" i="9"/>
  <c r="O110" i="9"/>
  <c r="N110" i="9"/>
  <c r="P109" i="9"/>
  <c r="O109" i="9"/>
  <c r="N109" i="9"/>
  <c r="P108" i="9"/>
  <c r="O108" i="9"/>
  <c r="N108" i="9"/>
  <c r="P107" i="9"/>
  <c r="O107" i="9"/>
  <c r="N107" i="9"/>
  <c r="P106" i="9"/>
  <c r="O106" i="9"/>
  <c r="N106" i="9"/>
  <c r="P105" i="9"/>
  <c r="O105" i="9"/>
  <c r="N105" i="9"/>
  <c r="P104" i="9"/>
  <c r="O104" i="9"/>
  <c r="N104" i="9"/>
  <c r="P103" i="9"/>
  <c r="O103" i="9"/>
  <c r="N103" i="9"/>
  <c r="P102" i="9"/>
  <c r="O102" i="9"/>
  <c r="N102" i="9"/>
  <c r="P101" i="9"/>
  <c r="O101" i="9"/>
  <c r="N101" i="9"/>
  <c r="P100" i="9"/>
  <c r="O100" i="9"/>
  <c r="N100" i="9"/>
  <c r="P99" i="9"/>
  <c r="O99" i="9"/>
  <c r="N99" i="9"/>
  <c r="P98" i="9"/>
  <c r="O98" i="9"/>
  <c r="N98" i="9"/>
  <c r="P97" i="9"/>
  <c r="O97" i="9"/>
  <c r="N97" i="9"/>
  <c r="P96" i="9"/>
  <c r="O96" i="9"/>
  <c r="N96" i="9"/>
  <c r="P95" i="9"/>
  <c r="O95" i="9"/>
  <c r="N95" i="9"/>
  <c r="P94" i="9"/>
  <c r="O94" i="9"/>
  <c r="N94" i="9"/>
  <c r="P93" i="9"/>
  <c r="O93" i="9"/>
  <c r="N93" i="9"/>
  <c r="P92" i="9"/>
  <c r="O92" i="9"/>
  <c r="N92" i="9"/>
  <c r="P91" i="9"/>
  <c r="O91" i="9"/>
  <c r="N91" i="9"/>
  <c r="P90" i="9"/>
  <c r="O90" i="9"/>
  <c r="N90" i="9"/>
  <c r="P89" i="9"/>
  <c r="O89" i="9"/>
  <c r="N89" i="9"/>
  <c r="P88" i="9"/>
  <c r="O88" i="9"/>
  <c r="N88" i="9"/>
  <c r="P87" i="9"/>
  <c r="O87" i="9"/>
  <c r="N87" i="9"/>
  <c r="P86" i="9"/>
  <c r="O86" i="9"/>
  <c r="N86" i="9"/>
  <c r="P85" i="9"/>
  <c r="O85" i="9"/>
  <c r="N85" i="9"/>
  <c r="P84" i="9"/>
  <c r="O84" i="9"/>
  <c r="N84" i="9"/>
  <c r="P83" i="9"/>
  <c r="O83" i="9"/>
  <c r="N83" i="9"/>
  <c r="P82" i="9"/>
  <c r="O82" i="9"/>
  <c r="N82" i="9"/>
  <c r="P81" i="9"/>
  <c r="O81" i="9"/>
  <c r="N81" i="9"/>
  <c r="P80" i="9"/>
  <c r="O80" i="9"/>
  <c r="N80" i="9"/>
  <c r="P79" i="9"/>
  <c r="O79" i="9"/>
  <c r="N79" i="9"/>
  <c r="P78" i="9"/>
  <c r="O78" i="9"/>
  <c r="N78" i="9"/>
  <c r="P77" i="9"/>
  <c r="O77" i="9"/>
  <c r="N77" i="9"/>
  <c r="P76" i="9"/>
  <c r="O76" i="9"/>
  <c r="N76" i="9"/>
  <c r="P75" i="9"/>
  <c r="O75" i="9"/>
  <c r="N75" i="9"/>
  <c r="P74" i="9"/>
  <c r="O74" i="9"/>
  <c r="N74" i="9"/>
  <c r="P73" i="9"/>
  <c r="O73" i="9"/>
  <c r="N73" i="9"/>
  <c r="P72" i="9"/>
  <c r="O72" i="9"/>
  <c r="N72" i="9"/>
  <c r="P71" i="9"/>
  <c r="O71" i="9"/>
  <c r="N71" i="9"/>
  <c r="P70" i="9"/>
  <c r="O70" i="9"/>
  <c r="N70" i="9"/>
  <c r="P69" i="9"/>
  <c r="O69" i="9"/>
  <c r="N69" i="9"/>
  <c r="P68" i="9"/>
  <c r="O68" i="9"/>
  <c r="N68" i="9"/>
  <c r="P67" i="9"/>
  <c r="O67" i="9"/>
  <c r="N67" i="9"/>
  <c r="P66" i="9"/>
  <c r="O66" i="9"/>
  <c r="N66" i="9"/>
  <c r="P65" i="9"/>
  <c r="O65" i="9"/>
  <c r="N65" i="9"/>
  <c r="P64" i="9"/>
  <c r="O64" i="9"/>
  <c r="N64" i="9"/>
  <c r="P63" i="9"/>
  <c r="O63" i="9"/>
  <c r="N63" i="9"/>
  <c r="P62" i="9"/>
  <c r="O62" i="9"/>
  <c r="N62" i="9"/>
  <c r="P61" i="9"/>
  <c r="O61" i="9"/>
  <c r="N61" i="9"/>
  <c r="P60" i="9"/>
  <c r="O60" i="9"/>
  <c r="N60" i="9"/>
  <c r="P59" i="9"/>
  <c r="O59" i="9"/>
  <c r="N59" i="9"/>
  <c r="P58" i="9"/>
  <c r="O58" i="9"/>
  <c r="N58" i="9"/>
  <c r="P57" i="9"/>
  <c r="O57" i="9"/>
  <c r="N57" i="9"/>
  <c r="P56" i="9"/>
  <c r="O56" i="9"/>
  <c r="N56" i="9"/>
  <c r="P55" i="9"/>
  <c r="O55" i="9"/>
  <c r="N55" i="9"/>
  <c r="P54" i="9"/>
  <c r="O54" i="9"/>
  <c r="N54" i="9"/>
  <c r="P53" i="9"/>
  <c r="O53" i="9"/>
  <c r="N53" i="9"/>
  <c r="P52" i="9"/>
  <c r="O52" i="9"/>
  <c r="N52" i="9"/>
  <c r="P51" i="9"/>
  <c r="O51" i="9"/>
  <c r="N51" i="9"/>
  <c r="P50" i="9"/>
  <c r="O50" i="9"/>
  <c r="N50" i="9"/>
  <c r="P49" i="9"/>
  <c r="O49" i="9"/>
  <c r="N49" i="9"/>
  <c r="P48" i="9"/>
  <c r="O48" i="9"/>
  <c r="N48" i="9"/>
  <c r="P47" i="9"/>
  <c r="O47" i="9"/>
  <c r="N47" i="9"/>
  <c r="P46" i="9"/>
  <c r="O46" i="9"/>
  <c r="N46" i="9"/>
  <c r="P45" i="9"/>
  <c r="O45" i="9"/>
  <c r="N45" i="9"/>
  <c r="P44" i="9"/>
  <c r="O44" i="9"/>
  <c r="N44" i="9"/>
  <c r="P43" i="9"/>
  <c r="O43" i="9"/>
  <c r="N43" i="9"/>
  <c r="P42" i="9"/>
  <c r="O42" i="9"/>
  <c r="N42" i="9"/>
  <c r="P41" i="9"/>
  <c r="O41" i="9"/>
  <c r="N41" i="9"/>
  <c r="P40" i="9"/>
  <c r="O40" i="9"/>
  <c r="N40" i="9"/>
  <c r="P39" i="9"/>
  <c r="O39" i="9"/>
  <c r="N39" i="9"/>
  <c r="P38" i="9"/>
  <c r="O38" i="9"/>
  <c r="N38" i="9"/>
  <c r="P37" i="9"/>
  <c r="O37" i="9"/>
  <c r="N37" i="9"/>
  <c r="P36" i="9"/>
  <c r="O36" i="9"/>
  <c r="N36" i="9"/>
  <c r="P35" i="9"/>
  <c r="O35" i="9"/>
  <c r="N35" i="9"/>
  <c r="P34" i="9"/>
  <c r="O34" i="9"/>
  <c r="N34" i="9"/>
  <c r="P33" i="9"/>
  <c r="O33" i="9"/>
  <c r="N33" i="9"/>
  <c r="P32" i="9"/>
  <c r="O32" i="9"/>
  <c r="N32" i="9"/>
  <c r="P31" i="9"/>
  <c r="O31" i="9"/>
  <c r="N31" i="9"/>
  <c r="P30" i="9"/>
  <c r="O30" i="9"/>
  <c r="N30" i="9"/>
  <c r="P29" i="9"/>
  <c r="O29" i="9"/>
  <c r="N29" i="9"/>
  <c r="P28" i="9"/>
  <c r="O28" i="9"/>
  <c r="N28" i="9"/>
  <c r="P27" i="9"/>
  <c r="O27" i="9"/>
  <c r="N27" i="9"/>
  <c r="P26" i="9"/>
  <c r="O26" i="9"/>
  <c r="N26" i="9"/>
  <c r="P25" i="9"/>
  <c r="O25" i="9"/>
  <c r="N25" i="9"/>
  <c r="P24" i="9"/>
  <c r="O24" i="9"/>
  <c r="N24" i="9"/>
  <c r="P23" i="9"/>
  <c r="O23" i="9"/>
  <c r="N23" i="9"/>
  <c r="P22" i="9"/>
  <c r="O22" i="9"/>
  <c r="N22" i="9"/>
  <c r="P21" i="9"/>
  <c r="O21" i="9"/>
  <c r="N21" i="9"/>
  <c r="P20" i="9"/>
  <c r="O20" i="9"/>
  <c r="N20" i="9"/>
  <c r="P19" i="9"/>
  <c r="O19" i="9"/>
  <c r="N19" i="9"/>
  <c r="P18" i="9"/>
  <c r="O18" i="9"/>
  <c r="N18" i="9"/>
  <c r="P17" i="9"/>
  <c r="O17" i="9"/>
  <c r="N17" i="9"/>
  <c r="P16" i="9"/>
  <c r="O16" i="9"/>
  <c r="F16" i="9"/>
  <c r="N16" i="9"/>
  <c r="F16" i="17"/>
  <c r="E12" i="17"/>
  <c r="F15" i="17"/>
  <c r="F14" i="17"/>
  <c r="G100" i="18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57" i="23"/>
  <c r="G58" i="23"/>
  <c r="G59" i="23"/>
  <c r="G60" i="23"/>
  <c r="G61" i="23"/>
  <c r="G62" i="23"/>
  <c r="G63" i="23"/>
  <c r="G64" i="23"/>
  <c r="G65" i="23"/>
  <c r="G66" i="23"/>
  <c r="G67" i="23"/>
  <c r="G68" i="23"/>
  <c r="G69" i="23"/>
  <c r="G70" i="23"/>
  <c r="G71" i="23"/>
  <c r="G72" i="23"/>
  <c r="G73" i="23"/>
  <c r="G74" i="23"/>
  <c r="G75" i="23"/>
  <c r="G76" i="23"/>
  <c r="G77" i="23"/>
  <c r="G78" i="23"/>
  <c r="G79" i="23"/>
  <c r="G80" i="23"/>
  <c r="G81" i="23"/>
  <c r="G82" i="23"/>
  <c r="G83" i="23"/>
  <c r="G84" i="23"/>
  <c r="G85" i="23"/>
  <c r="G86" i="23"/>
  <c r="G87" i="23"/>
  <c r="G88" i="23"/>
  <c r="G89" i="23"/>
  <c r="G90" i="23"/>
  <c r="G91" i="23"/>
  <c r="G92" i="23"/>
  <c r="G93" i="23"/>
  <c r="G94" i="23"/>
  <c r="G95" i="23"/>
  <c r="G96" i="23"/>
  <c r="G97" i="23"/>
  <c r="G98" i="23"/>
  <c r="G99" i="23"/>
  <c r="G100" i="23"/>
  <c r="G101" i="23"/>
  <c r="G102" i="23"/>
  <c r="G103" i="23"/>
  <c r="G104" i="23"/>
  <c r="G105" i="23"/>
  <c r="G106" i="23"/>
  <c r="G107" i="23"/>
  <c r="G108" i="23"/>
  <c r="G109" i="23"/>
  <c r="G110" i="23"/>
  <c r="G111" i="23"/>
  <c r="G112" i="23"/>
  <c r="G113" i="23"/>
  <c r="G114" i="23"/>
  <c r="G115" i="23"/>
  <c r="G116" i="23"/>
  <c r="G117" i="23"/>
  <c r="G118" i="23"/>
  <c r="G119" i="23"/>
  <c r="G120" i="23"/>
  <c r="G121" i="23"/>
  <c r="G122" i="23"/>
  <c r="G123" i="23"/>
  <c r="G124" i="23"/>
  <c r="G125" i="23"/>
  <c r="G126" i="23"/>
  <c r="G127" i="23"/>
  <c r="G128" i="23"/>
  <c r="G129" i="23"/>
  <c r="G130" i="23"/>
  <c r="G131" i="23"/>
  <c r="G132" i="23"/>
  <c r="G133" i="23"/>
  <c r="G134" i="23"/>
  <c r="G135" i="23"/>
  <c r="G136" i="23"/>
  <c r="G137" i="23"/>
  <c r="G138" i="23"/>
  <c r="G139" i="23"/>
  <c r="G140" i="23"/>
  <c r="G141" i="23"/>
  <c r="H141" i="23"/>
  <c r="H140" i="23"/>
  <c r="H139" i="23"/>
  <c r="H138" i="23"/>
  <c r="H137" i="23"/>
  <c r="H136" i="23"/>
  <c r="H135" i="23"/>
  <c r="H134" i="23"/>
  <c r="H133" i="23"/>
  <c r="H132" i="23"/>
  <c r="H131" i="23"/>
  <c r="H130" i="23"/>
  <c r="H129" i="23"/>
  <c r="H128" i="23"/>
  <c r="H127" i="23"/>
  <c r="H126" i="23"/>
  <c r="H125" i="23"/>
  <c r="H124" i="23"/>
  <c r="H123" i="23"/>
  <c r="H122" i="23"/>
  <c r="H121" i="23"/>
  <c r="H120" i="23"/>
  <c r="H119" i="23"/>
  <c r="H118" i="23"/>
  <c r="H117" i="23"/>
  <c r="H116" i="23"/>
  <c r="H115" i="23"/>
  <c r="H114" i="23"/>
  <c r="H113" i="23"/>
  <c r="H112" i="23"/>
  <c r="H111" i="23"/>
  <c r="H110" i="23"/>
  <c r="H109" i="23"/>
  <c r="H108" i="23"/>
  <c r="H107" i="23"/>
  <c r="H106" i="23"/>
  <c r="H105" i="23"/>
  <c r="H104" i="23"/>
  <c r="H103" i="23"/>
  <c r="H102" i="23"/>
  <c r="H101" i="23"/>
  <c r="H100" i="23"/>
  <c r="H99" i="23"/>
  <c r="H98" i="23"/>
  <c r="H97" i="23"/>
  <c r="H96" i="23"/>
  <c r="H95" i="23"/>
  <c r="H94" i="23"/>
  <c r="H93" i="23"/>
  <c r="H92" i="23"/>
  <c r="H91" i="23"/>
  <c r="H90" i="23"/>
  <c r="H89" i="23"/>
  <c r="H88" i="23"/>
  <c r="H87" i="23"/>
  <c r="H86" i="23"/>
  <c r="H85" i="23"/>
  <c r="H84" i="23"/>
  <c r="H83" i="23"/>
  <c r="H82" i="23"/>
  <c r="H81" i="23"/>
  <c r="H80" i="23"/>
  <c r="H79" i="23"/>
  <c r="H78" i="23"/>
  <c r="H77" i="23"/>
  <c r="H76" i="23"/>
  <c r="H75" i="23"/>
  <c r="H74" i="23"/>
  <c r="H73" i="23"/>
  <c r="H72" i="23"/>
  <c r="H71" i="23"/>
  <c r="H70" i="23"/>
  <c r="H69" i="23"/>
  <c r="H68" i="23"/>
  <c r="H67" i="23"/>
  <c r="H66" i="23"/>
  <c r="H65" i="23"/>
  <c r="H64" i="23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G13" i="23"/>
  <c r="D98" i="27"/>
  <c r="E98" i="27"/>
  <c r="G98" i="27"/>
  <c r="F98" i="27"/>
  <c r="G15" i="28"/>
  <c r="G99" i="28"/>
  <c r="G98" i="28"/>
  <c r="G97" i="28"/>
  <c r="G96" i="28"/>
  <c r="G95" i="28"/>
  <c r="G94" i="28"/>
  <c r="G93" i="28"/>
  <c r="G92" i="28"/>
  <c r="G91" i="28"/>
  <c r="G90" i="28"/>
  <c r="G89" i="28"/>
  <c r="G88" i="28"/>
  <c r="G87" i="28"/>
  <c r="G86" i="28"/>
  <c r="G85" i="28"/>
  <c r="G84" i="28"/>
  <c r="G83" i="28"/>
  <c r="G82" i="28"/>
  <c r="G81" i="28"/>
  <c r="G80" i="28"/>
  <c r="G79" i="28"/>
  <c r="G78" i="28"/>
  <c r="G77" i="28"/>
  <c r="G76" i="28"/>
  <c r="G75" i="28"/>
  <c r="G74" i="28"/>
  <c r="G73" i="28"/>
  <c r="G72" i="28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E99" i="28"/>
  <c r="E98" i="28"/>
  <c r="E97" i="28"/>
  <c r="E96" i="28"/>
  <c r="E95" i="28"/>
  <c r="E94" i="28"/>
  <c r="E93" i="28"/>
  <c r="E92" i="28"/>
  <c r="E91" i="28"/>
  <c r="E90" i="28"/>
  <c r="E89" i="28"/>
  <c r="E88" i="28"/>
  <c r="E87" i="28"/>
  <c r="E86" i="28"/>
  <c r="E85" i="28"/>
  <c r="E84" i="28"/>
  <c r="E83" i="28"/>
  <c r="E82" i="28"/>
  <c r="E81" i="28"/>
  <c r="E80" i="28"/>
  <c r="E79" i="28"/>
  <c r="E78" i="28"/>
  <c r="E77" i="28"/>
  <c r="E76" i="28"/>
  <c r="E75" i="28"/>
  <c r="E74" i="28"/>
  <c r="E73" i="28"/>
  <c r="E72" i="28"/>
  <c r="E71" i="28"/>
  <c r="E70" i="28"/>
  <c r="E69" i="28"/>
  <c r="E68" i="28"/>
  <c r="E67" i="28"/>
  <c r="E66" i="28"/>
  <c r="E65" i="28"/>
  <c r="E64" i="28"/>
  <c r="E63" i="28"/>
  <c r="E62" i="28"/>
  <c r="E61" i="28"/>
  <c r="E60" i="28"/>
  <c r="E59" i="28"/>
  <c r="E58" i="28"/>
  <c r="E57" i="28"/>
  <c r="E56" i="28"/>
  <c r="E55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</calcChain>
</file>

<file path=xl/sharedStrings.xml><?xml version="1.0" encoding="utf-8"?>
<sst xmlns="http://schemas.openxmlformats.org/spreadsheetml/2006/main" count="1347" uniqueCount="448">
  <si>
    <t>Motor</t>
  </si>
  <si>
    <t>J</t>
  </si>
  <si>
    <t>kg m2</t>
  </si>
  <si>
    <t>V</t>
  </si>
  <si>
    <t>fN</t>
  </si>
  <si>
    <t>Nenndrehzahl</t>
  </si>
  <si>
    <t>Nennstrom</t>
  </si>
  <si>
    <t>IN</t>
  </si>
  <si>
    <t>A</t>
  </si>
  <si>
    <t>Nennleistung</t>
  </si>
  <si>
    <t>PN</t>
  </si>
  <si>
    <t>W</t>
  </si>
  <si>
    <t>Nennspannung</t>
  </si>
  <si>
    <t>UN</t>
  </si>
  <si>
    <t>UindN</t>
  </si>
  <si>
    <t>Trägheitsmoment</t>
  </si>
  <si>
    <t xml:space="preserve">Modell </t>
  </si>
  <si>
    <t>Index k</t>
  </si>
  <si>
    <t>Sollwert</t>
  </si>
  <si>
    <t>Ankerspannung</t>
  </si>
  <si>
    <t>U1</t>
  </si>
  <si>
    <t>Drehzahl f</t>
  </si>
  <si>
    <t>ML/MN</t>
  </si>
  <si>
    <t>I</t>
  </si>
  <si>
    <t>Uind</t>
  </si>
  <si>
    <t>abgeleitete Größen:</t>
  </si>
  <si>
    <t>rpm</t>
  </si>
  <si>
    <t>Drehmoment</t>
  </si>
  <si>
    <t>MN</t>
  </si>
  <si>
    <t>Ankerwiderstand</t>
  </si>
  <si>
    <t>R</t>
  </si>
  <si>
    <t>Uind Nenn</t>
  </si>
  <si>
    <t>Nm</t>
  </si>
  <si>
    <t>Ohm</t>
  </si>
  <si>
    <t>s</t>
  </si>
  <si>
    <t>1/s</t>
  </si>
  <si>
    <t>ohne Trägheitsmoment des Rotors</t>
  </si>
  <si>
    <t>1/Vs</t>
  </si>
  <si>
    <t>Drehzahl</t>
  </si>
  <si>
    <t>f/fN</t>
  </si>
  <si>
    <t>Leerlaufdrehzahl</t>
  </si>
  <si>
    <t>f0</t>
  </si>
  <si>
    <t>k = w0/UN= wN/UindN</t>
  </si>
  <si>
    <t>k2=k*R*IN/MN</t>
  </si>
  <si>
    <t>1/VAs2</t>
  </si>
  <si>
    <t>mit Trägheitsmoment des Rotors</t>
  </si>
  <si>
    <t>k3=k2*J/dt</t>
  </si>
  <si>
    <t>k4=1+k3</t>
  </si>
  <si>
    <t>Hilfsgrößen</t>
  </si>
  <si>
    <t>a=k/k4</t>
  </si>
  <si>
    <t>b=k2/k4</t>
  </si>
  <si>
    <t>c=k3/k4</t>
  </si>
  <si>
    <t>Einheit</t>
  </si>
  <si>
    <t>Wert</t>
  </si>
  <si>
    <t>w(k) = a * U1 - b * ML + c * w(k-1)</t>
  </si>
  <si>
    <t>w(k)</t>
  </si>
  <si>
    <t>f(k) [rpm]</t>
  </si>
  <si>
    <t>f(k)/fN</t>
  </si>
  <si>
    <t>(2 Messpunkte pro Umdrehung bei fN)</t>
  </si>
  <si>
    <t>Startbedingung: Stillstand</t>
  </si>
  <si>
    <t>U1(k)</t>
  </si>
  <si>
    <t>P</t>
  </si>
  <si>
    <t>PI</t>
  </si>
  <si>
    <t>PID</t>
  </si>
  <si>
    <t>e(k)</t>
  </si>
  <si>
    <t>Reglerparameter:</t>
  </si>
  <si>
    <t>Wirkungsweise</t>
  </si>
  <si>
    <t>Regler: Stellgröße U1(k) = y(k) + UN</t>
  </si>
  <si>
    <t>Sum (e(k))</t>
  </si>
  <si>
    <t>2 Messpunkte pro Umdrehung bei fN</t>
  </si>
  <si>
    <t>UN/dt</t>
  </si>
  <si>
    <t>Ki*dt</t>
  </si>
  <si>
    <t>m(k) = KP * e(k)</t>
  </si>
  <si>
    <t>m(k) = Ki * dt * Summe (e(k) )</t>
  </si>
  <si>
    <t>Trend e'(k)=</t>
  </si>
  <si>
    <t>e(k)-e(k-1)</t>
  </si>
  <si>
    <t>UN*dt</t>
  </si>
  <si>
    <t>Kd</t>
  </si>
  <si>
    <t>Kp</t>
  </si>
  <si>
    <t>Ki</t>
  </si>
  <si>
    <t>Kd/dt</t>
  </si>
  <si>
    <t>m(k) = (Kd / Δt) * (e(k)-e(k-1))</t>
  </si>
  <si>
    <t>L=</t>
  </si>
  <si>
    <t>mH</t>
  </si>
  <si>
    <t>V/Hz</t>
  </si>
  <si>
    <t xml:space="preserve">ẋ2(t) = (kM/J) * x1(t) </t>
  </si>
  <si>
    <t>a21=kM/J</t>
  </si>
  <si>
    <t>a22=0</t>
  </si>
  <si>
    <t>b1=1/L</t>
  </si>
  <si>
    <t>b2=0</t>
  </si>
  <si>
    <t>R=</t>
  </si>
  <si>
    <t>kM=</t>
  </si>
  <si>
    <t>k=</t>
  </si>
  <si>
    <t>V/A</t>
  </si>
  <si>
    <t>Vs/A</t>
  </si>
  <si>
    <t>Vs</t>
  </si>
  <si>
    <t>zusätzlioche Kenngröße: Induktivität der Ankerwicklung</t>
  </si>
  <si>
    <t>J=</t>
  </si>
  <si>
    <t>a11=</t>
  </si>
  <si>
    <t>a12=</t>
  </si>
  <si>
    <t>a21=</t>
  </si>
  <si>
    <t>a22=</t>
  </si>
  <si>
    <t>b1=</t>
  </si>
  <si>
    <t>b2=</t>
  </si>
  <si>
    <t>A/Vs</t>
  </si>
  <si>
    <t>1/As</t>
  </si>
  <si>
    <t>1/As2</t>
  </si>
  <si>
    <t>u(k)  [V]</t>
  </si>
  <si>
    <t>Zeitdiskret:</t>
  </si>
  <si>
    <t>ẋ1(t) -&gt;</t>
  </si>
  <si>
    <t>ẋ2(t) -&gt;</t>
  </si>
  <si>
    <t>Zeitintervall Δt</t>
  </si>
  <si>
    <t>(x1(k) - x1(k-1)) / Δt</t>
  </si>
  <si>
    <t>(x2(k) - x2(k-1)) / Δt</t>
  </si>
  <si>
    <t>x1(k)  [A]</t>
  </si>
  <si>
    <t>x2(k)  [Hz]</t>
  </si>
  <si>
    <t xml:space="preserve">f(k)=x2(k)/2π </t>
  </si>
  <si>
    <t>2π=</t>
  </si>
  <si>
    <t>x1(i) aussortieren</t>
  </si>
  <si>
    <t>Vorgabe: Stillstand</t>
  </si>
  <si>
    <t>a'12=</t>
  </si>
  <si>
    <t>a'21=</t>
  </si>
  <si>
    <t>a'22=</t>
  </si>
  <si>
    <t>b'1=</t>
  </si>
  <si>
    <t>b'2=</t>
  </si>
  <si>
    <t>a'11=a11 * Δt</t>
  </si>
  <si>
    <t>As</t>
  </si>
  <si>
    <t>A/V</t>
  </si>
  <si>
    <t>x2(i) = a'21 x1(i) + x2(i-1)</t>
  </si>
  <si>
    <t>x1(i)= (a'12 x2(i-1) + b'1 u(i) + x1(i-1)) / c</t>
  </si>
  <si>
    <t>c=1-a'11 - a'11*a'21 =</t>
  </si>
  <si>
    <t>u(k)/uN</t>
  </si>
  <si>
    <t>x1(k)/IN</t>
  </si>
  <si>
    <t>x2(k)/fN</t>
  </si>
  <si>
    <t>ẋ1(t) = -(R/L) * x1(t) - (1/k) * x2(t) + (1/L) * u(t)</t>
  </si>
  <si>
    <t>a11=-R/L</t>
  </si>
  <si>
    <t>a12=-1/kL</t>
  </si>
  <si>
    <t>Regler</t>
  </si>
  <si>
    <t>k1=</t>
  </si>
  <si>
    <t>k2=</t>
  </si>
  <si>
    <t>uR(k)</t>
  </si>
  <si>
    <t>u(k) [V]</t>
  </si>
  <si>
    <t>k1*x1(k-1)</t>
  </si>
  <si>
    <t>k2*x2(k-1)</t>
  </si>
  <si>
    <t>u(k) - uR(k)  [V]</t>
  </si>
  <si>
    <t>g1=</t>
  </si>
  <si>
    <t>g2=</t>
  </si>
  <si>
    <t>Störgröße</t>
  </si>
  <si>
    <t>z(k)=ML [Nm]</t>
  </si>
  <si>
    <t>[J]=</t>
  </si>
  <si>
    <t>kg m2 = Nm * s2</t>
  </si>
  <si>
    <t>[1/J] =</t>
  </si>
  <si>
    <t>1/ (Nm s2)</t>
  </si>
  <si>
    <t>[Ml/J] =</t>
  </si>
  <si>
    <t>1/ s2</t>
  </si>
  <si>
    <t>Für die Störgröße:</t>
  </si>
  <si>
    <t>z(k)*g2</t>
  </si>
  <si>
    <t xml:space="preserve"> </t>
  </si>
  <si>
    <t>w'(k) [V]</t>
  </si>
  <si>
    <t>w(k) [Hz]</t>
  </si>
  <si>
    <t>e(k) [Hz]</t>
  </si>
  <si>
    <t>Σ e(k)</t>
  </si>
  <si>
    <t>I-Regler</t>
  </si>
  <si>
    <t>Ki =</t>
  </si>
  <si>
    <t>Δt * Σ e(k)</t>
  </si>
  <si>
    <t>u1=Ki*Δt*Σ e(k)</t>
  </si>
  <si>
    <t>Beobachter</t>
  </si>
  <si>
    <t>h1=</t>
  </si>
  <si>
    <t>h2=</t>
  </si>
  <si>
    <t>Eingänge des Beobachters</t>
  </si>
  <si>
    <t>ab11=a11</t>
  </si>
  <si>
    <t>ab12=a12-h1</t>
  </si>
  <si>
    <t>ab21=a21</t>
  </si>
  <si>
    <t>ab22=a22-h2</t>
  </si>
  <si>
    <t>Beobachtermatrix</t>
  </si>
  <si>
    <t>x1b(k)</t>
  </si>
  <si>
    <t>x2b(k)</t>
  </si>
  <si>
    <t>b=1/(1-ab22)=</t>
  </si>
  <si>
    <t>c=1/(1-ab11-ab12*ab21*b)=</t>
  </si>
  <si>
    <t>Random</t>
  </si>
  <si>
    <t>noise</t>
  </si>
  <si>
    <t>mL=</t>
  </si>
  <si>
    <t>mK=</t>
  </si>
  <si>
    <t>l=</t>
  </si>
  <si>
    <t>kg</t>
  </si>
  <si>
    <t>m</t>
  </si>
  <si>
    <t>g=</t>
  </si>
  <si>
    <t>m/s2</t>
  </si>
  <si>
    <t>x1=</t>
  </si>
  <si>
    <t>x2=</t>
  </si>
  <si>
    <t>x1</t>
  </si>
  <si>
    <t>x2</t>
  </si>
  <si>
    <t>x3</t>
  </si>
  <si>
    <t>x4</t>
  </si>
  <si>
    <t>ẋ1=</t>
  </si>
  <si>
    <t>ẋ2=</t>
  </si>
  <si>
    <t>ẋ3=</t>
  </si>
  <si>
    <t>+</t>
  </si>
  <si>
    <t>F(t)</t>
  </si>
  <si>
    <t>y=</t>
  </si>
  <si>
    <t>yK</t>
  </si>
  <si>
    <t>ẏK</t>
  </si>
  <si>
    <t>x3=</t>
  </si>
  <si>
    <t>φ</t>
  </si>
  <si>
    <t>x4=</t>
  </si>
  <si>
    <t>φ'</t>
  </si>
  <si>
    <t>ẋ4=</t>
  </si>
  <si>
    <t>x4(k)</t>
  </si>
  <si>
    <t>x3(k)</t>
  </si>
  <si>
    <t>x2(k)</t>
  </si>
  <si>
    <t>Δt=</t>
  </si>
  <si>
    <t>x2(k) = a23 Δt x3(k) + x2(k-1) + b2 Δt F</t>
  </si>
  <si>
    <t>y(k) = c1 x1(k) + c3 x3(k)</t>
  </si>
  <si>
    <t>a43 Δt=</t>
  </si>
  <si>
    <t>Startwerte</t>
  </si>
  <si>
    <t xml:space="preserve"> 1/(1- a43 Δt2)=</t>
  </si>
  <si>
    <t>a43 Δt Δt =</t>
  </si>
  <si>
    <t>x4(k) (1- a43 Δt2) = a43 Δt x3(k-1) + x4(k-1) + b4 Δt F</t>
  </si>
  <si>
    <t>N</t>
  </si>
  <si>
    <t>a23= g mL/mK</t>
  </si>
  <si>
    <t>a43= -(g/l)(1+mL/mK)</t>
  </si>
  <si>
    <t>b2=1/mK</t>
  </si>
  <si>
    <t>b4=-1/(l mK)</t>
  </si>
  <si>
    <t>x3(k) = Δt x4(k) + x3(k-1)</t>
  </si>
  <si>
    <t>x1(k) = Δt x2(k) + x1(k-1)</t>
  </si>
  <si>
    <t>φ (Grad)</t>
  </si>
  <si>
    <t>F(k) [N]</t>
  </si>
  <si>
    <t>x1(k) [m]</t>
  </si>
  <si>
    <t>y(k) [m]</t>
  </si>
  <si>
    <t>sqrt(g/l)=</t>
  </si>
  <si>
    <t>Hz</t>
  </si>
  <si>
    <t>F0 [N]=</t>
  </si>
  <si>
    <t>f [Hz] =</t>
  </si>
  <si>
    <t>xi</t>
  </si>
  <si>
    <t>yi</t>
  </si>
  <si>
    <t>a=</t>
  </si>
  <si>
    <t>b=</t>
  </si>
  <si>
    <t>y = a + bx</t>
  </si>
  <si>
    <t>N=</t>
  </si>
  <si>
    <t>Σxi=</t>
  </si>
  <si>
    <t>Σxi2=</t>
  </si>
  <si>
    <t>w1=</t>
  </si>
  <si>
    <t>w2=</t>
  </si>
  <si>
    <t>Σyi =</t>
  </si>
  <si>
    <t>Σyi xi=</t>
  </si>
  <si>
    <t>det(A)=(a11*a22 - a12*a21)=</t>
  </si>
  <si>
    <t>b=(a11*w2 - a12*w1)/det(A)=</t>
  </si>
  <si>
    <t>a=(a22*w1 - a21* w2)/det(A)=</t>
  </si>
  <si>
    <t>ḣ(t) = k (qe(t) - qa(t))</t>
  </si>
  <si>
    <t>Übertragungsfunktion:</t>
  </si>
  <si>
    <t>DGL:</t>
  </si>
  <si>
    <t>ḣ(t) = k qe(t) - k qa(t)</t>
  </si>
  <si>
    <t>qa:= Störgröße; qe:= Stellgröße; h:= Regelgröße</t>
  </si>
  <si>
    <t>s H(s) = k Qe(s)</t>
  </si>
  <si>
    <t>G(s) = k/s</t>
  </si>
  <si>
    <t>h(k) = h(k-1) + Δt k qe(k) -Δt k qa(t)</t>
  </si>
  <si>
    <t>k = 1/A =</t>
  </si>
  <si>
    <t xml:space="preserve"> m-2</t>
  </si>
  <si>
    <t>qa0=</t>
  </si>
  <si>
    <t>m3/s</t>
  </si>
  <si>
    <t>h0=</t>
  </si>
  <si>
    <t>Kp=</t>
  </si>
  <si>
    <t>Ki=</t>
  </si>
  <si>
    <t>Σe(k)</t>
  </si>
  <si>
    <t>qe(k) [m3/s]</t>
  </si>
  <si>
    <t>qa(k) [m3/s]</t>
  </si>
  <si>
    <t>h(k) [m]</t>
  </si>
  <si>
    <t>e(k) [m]</t>
  </si>
  <si>
    <t>m2/s</t>
  </si>
  <si>
    <t>KP * e(k-1)</t>
  </si>
  <si>
    <t>m2/s2</t>
  </si>
  <si>
    <t>KI*Δt*Σe(k-1)</t>
  </si>
  <si>
    <t xml:space="preserve">20* e(k)2 </t>
  </si>
  <si>
    <t>kR=</t>
  </si>
  <si>
    <t>qe0=</t>
  </si>
  <si>
    <t>kR * h(k-1)</t>
  </si>
  <si>
    <t>Ruhewert Stellgöße</t>
  </si>
  <si>
    <t>m=</t>
  </si>
  <si>
    <t>v0=</t>
  </si>
  <si>
    <t>a)</t>
  </si>
  <si>
    <t>b)</t>
  </si>
  <si>
    <t>v'(t)= F(t)/m - Fab(t)/m</t>
  </si>
  <si>
    <t>v'(t)= F(t)/m - Fab(t)/m -p v(t)</t>
  </si>
  <si>
    <t>kg m /s2</t>
  </si>
  <si>
    <t>m/s =</t>
  </si>
  <si>
    <t>km/h</t>
  </si>
  <si>
    <t>p=</t>
  </si>
  <si>
    <t>Regelstrecke:</t>
  </si>
  <si>
    <t>v(k)= v(k-1) + Δt F(k)/m - Δt Fab(k)/m</t>
  </si>
  <si>
    <t>v(k)(1+pΔt)= v(k-1) + Δt F(k)/m - Δt Fab(k)/m</t>
  </si>
  <si>
    <t>F0=</t>
  </si>
  <si>
    <t>Regler:</t>
  </si>
  <si>
    <t>kg/s</t>
  </si>
  <si>
    <t>f0=</t>
  </si>
  <si>
    <t xml:space="preserve"> v1(k)</t>
  </si>
  <si>
    <t xml:space="preserve"> v(k) unger.</t>
  </si>
  <si>
    <t>dsoll=</t>
  </si>
  <si>
    <t>Δv</t>
  </si>
  <si>
    <t xml:space="preserve"> v2= v1+Δv</t>
  </si>
  <si>
    <t>δ= d+Δd-dsoll</t>
  </si>
  <si>
    <t>vsoll=</t>
  </si>
  <si>
    <t>m/s</t>
  </si>
  <si>
    <t>d0(k)</t>
  </si>
  <si>
    <t>d0(k)=</t>
  </si>
  <si>
    <t>kg/s2</t>
  </si>
  <si>
    <t>δ Kp =</t>
  </si>
  <si>
    <t>u1=F0+δ Kp</t>
  </si>
  <si>
    <t>Δd=Σ(Δv*Δt)</t>
  </si>
  <si>
    <t xml:space="preserve">  Δv = v2 - v1</t>
  </si>
  <si>
    <t xml:space="preserve"> d = d0 + Δd</t>
  </si>
  <si>
    <t xml:space="preserve"> v2(K)</t>
  </si>
  <si>
    <t xml:space="preserve"> u(k)=F(k)</t>
  </si>
  <si>
    <t xml:space="preserve"> Fab(k)</t>
  </si>
  <si>
    <t>u1=F0</t>
  </si>
  <si>
    <t xml:space="preserve"> v(k)</t>
  </si>
  <si>
    <t xml:space="preserve"> u(k)=u1-uR</t>
  </si>
  <si>
    <t>Zustandsmodell:</t>
  </si>
  <si>
    <t>c=</t>
  </si>
  <si>
    <t>k3=</t>
  </si>
  <si>
    <t>k4=</t>
  </si>
  <si>
    <t>kgm/s2</t>
  </si>
  <si>
    <t>kgm/s</t>
  </si>
  <si>
    <t>x4 k4</t>
  </si>
  <si>
    <t>x3 k3</t>
  </si>
  <si>
    <t>x2 k2</t>
  </si>
  <si>
    <t>x1 k1</t>
  </si>
  <si>
    <t>y(k) = c3 x3(k)</t>
  </si>
  <si>
    <t xml:space="preserve"> y(k) [rad]</t>
  </si>
  <si>
    <t xml:space="preserve"> x1(k) [m]</t>
  </si>
  <si>
    <t>v0</t>
  </si>
  <si>
    <t>kP=</t>
  </si>
  <si>
    <t>P-Regler</t>
  </si>
  <si>
    <t>Zustands-Rückführung</t>
  </si>
  <si>
    <t xml:space="preserve"> e(k)=v0-v(k)</t>
  </si>
  <si>
    <t>F(k)=kP*e(k)</t>
  </si>
  <si>
    <t>Fab0</t>
  </si>
  <si>
    <t>u'R(k)</t>
  </si>
  <si>
    <t>mit Störgröße</t>
  </si>
  <si>
    <t xml:space="preserve"> v'(k)</t>
  </si>
  <si>
    <t xml:space="preserve"> u(k)=u1-u'R</t>
  </si>
  <si>
    <t>Schätzung der Systemparameter</t>
  </si>
  <si>
    <t xml:space="preserve">1. </t>
  </si>
  <si>
    <t>2.</t>
  </si>
  <si>
    <t>Erzeugung der Messwerte</t>
  </si>
  <si>
    <t>Eingangssignal:</t>
  </si>
  <si>
    <t>x(k) = σ(k) Sprungfunktion</t>
  </si>
  <si>
    <t>b0=</t>
  </si>
  <si>
    <t>a1=</t>
  </si>
  <si>
    <t>a2=</t>
  </si>
  <si>
    <t>y(k) = a1 y(k-1) + a2 y(k-2) + b0 x(k) + b1 x(k-1)</t>
  </si>
  <si>
    <t>y(k) = a1 y(k-1) + b0 x(k)</t>
  </si>
  <si>
    <t xml:space="preserve"> x(k)</t>
  </si>
  <si>
    <t xml:space="preserve"> y1(k)</t>
  </si>
  <si>
    <t xml:space="preserve"> y2(k)</t>
  </si>
  <si>
    <t>Random=</t>
  </si>
  <si>
    <t xml:space="preserve"> y2#(k)</t>
  </si>
  <si>
    <t xml:space="preserve"> y(k)</t>
  </si>
  <si>
    <t>Approximation</t>
  </si>
  <si>
    <t>Messwerte</t>
  </si>
  <si>
    <t>Fehler</t>
  </si>
  <si>
    <t>e2(k)</t>
  </si>
  <si>
    <t>e1(k)</t>
  </si>
  <si>
    <t>System 1. Ordung</t>
  </si>
  <si>
    <t>System 2. Ordnung</t>
  </si>
  <si>
    <t xml:space="preserve">ḣ2(t) = k/A2 h1(t) - k/A2 h2(t) - 1/A2 qa2(t) </t>
  </si>
  <si>
    <t xml:space="preserve">ḣ1(t) = -k/A1 h1(t) + k/A1 h2(t) + 1/A1 qe1(t) </t>
  </si>
  <si>
    <t>A1=</t>
  </si>
  <si>
    <t>A2=</t>
  </si>
  <si>
    <t>m2</t>
  </si>
  <si>
    <t>qe10=</t>
  </si>
  <si>
    <t>qa20=</t>
  </si>
  <si>
    <t>a= Δt k /A1 =</t>
  </si>
  <si>
    <t>b= Δt k /A2 =</t>
  </si>
  <si>
    <t>x2(k) (1+b) = b x1(k) - b/k qa2(k) + x2(k-1)</t>
  </si>
  <si>
    <t>1/(1 + a - ab/(1+b)) =</t>
  </si>
  <si>
    <t>1/(1+b)=</t>
  </si>
  <si>
    <t>x1(k)(1 + a - ab/(1+b)) =-ab/(k(1+b)) qa2(k) + a/(1+b) x2(k-1) + a/k qe1(k) + x1(k-1)</t>
  </si>
  <si>
    <t xml:space="preserve">b2= </t>
  </si>
  <si>
    <t>c1=</t>
  </si>
  <si>
    <t>c2=</t>
  </si>
  <si>
    <t>k1*x1</t>
  </si>
  <si>
    <t>k1*x2</t>
  </si>
  <si>
    <t xml:space="preserve"> x1(k)=h1(k)</t>
  </si>
  <si>
    <t xml:space="preserve"> x2(k)=h2(k)</t>
  </si>
  <si>
    <t xml:space="preserve"> qa(k)</t>
  </si>
  <si>
    <t xml:space="preserve"> qe(k)</t>
  </si>
  <si>
    <t>Generator-Turbinensatz</t>
  </si>
  <si>
    <t>MW</t>
  </si>
  <si>
    <t>zeitdiskret:</t>
  </si>
  <si>
    <t>u(k)</t>
  </si>
  <si>
    <t>ΔP</t>
  </si>
  <si>
    <t>ΔP=</t>
  </si>
  <si>
    <t>KP=</t>
  </si>
  <si>
    <t>Pb=</t>
  </si>
  <si>
    <t>MW/Hz</t>
  </si>
  <si>
    <t>ẋ1(t) = KT u(t) - x1(t)/TT</t>
  </si>
  <si>
    <t>ẋ2(t) = (1/ω0JR) x1(t) - (ML/JR )</t>
  </si>
  <si>
    <t>y(t) = x2(t) / 2π</t>
  </si>
  <si>
    <t>x1(k) (1+ Δt/TT) = KT Δt u(k) + x1(k-1)</t>
  </si>
  <si>
    <t>KT=</t>
  </si>
  <si>
    <t>TT=</t>
  </si>
  <si>
    <t>ML=</t>
  </si>
  <si>
    <t>MWs/m3</t>
  </si>
  <si>
    <t>h0</t>
  </si>
  <si>
    <t>x1(k)</t>
  </si>
  <si>
    <t>1/(1+ Δt/TT)=</t>
  </si>
  <si>
    <t>KT Δt=</t>
  </si>
  <si>
    <t>(ML Δt)/JR</t>
  </si>
  <si>
    <t>(ML Δt)/JR=</t>
  </si>
  <si>
    <t>x2(k)= (Δt/(ω0 JR)) x1(k) - (ML Δt)/JR  + x2(k-1)</t>
  </si>
  <si>
    <t>(Δt/(ω0 JR))=</t>
  </si>
  <si>
    <t>JR=</t>
  </si>
  <si>
    <t>x1(k) [MW]</t>
  </si>
  <si>
    <t>(Δt/(ω0 JR)) x1(k)</t>
  </si>
  <si>
    <t>ΔP/Pb</t>
  </si>
  <si>
    <t>Δf/f0</t>
  </si>
  <si>
    <t xml:space="preserve"> y(k)=f(k)</t>
  </si>
  <si>
    <t>Pb1=</t>
  </si>
  <si>
    <t>ML1=</t>
  </si>
  <si>
    <t>JR1=</t>
  </si>
  <si>
    <t>h01</t>
  </si>
  <si>
    <t>KT1=</t>
  </si>
  <si>
    <t>TT1=</t>
  </si>
  <si>
    <t>Pb2=</t>
  </si>
  <si>
    <t>ML2=</t>
  </si>
  <si>
    <t>JR2=</t>
  </si>
  <si>
    <t>h02</t>
  </si>
  <si>
    <t>KT2=</t>
  </si>
  <si>
    <t>TT2=</t>
  </si>
  <si>
    <t>KP1=</t>
  </si>
  <si>
    <t>KP2=</t>
  </si>
  <si>
    <t>1/(1+ Δt/TT1)=</t>
  </si>
  <si>
    <t>KT1 Δt=</t>
  </si>
  <si>
    <t>x11(k) (1+ Δt/TT1) = KT1 Δt u1(k) + x11(k-1)</t>
  </si>
  <si>
    <t>x12(k) (1+ Δt/TT2) = KT2 Δt u2(k) + x12(k-1)</t>
  </si>
  <si>
    <t>1/(1+ Δt/TT2)=</t>
  </si>
  <si>
    <t>KT2 Δt=</t>
  </si>
  <si>
    <t>x11(k)</t>
  </si>
  <si>
    <t>x12(k)</t>
  </si>
  <si>
    <t>u1(k)</t>
  </si>
  <si>
    <t>x2(k)= (Δt/(ω0 JR)) (x11(k)+x12(k)) - (ML Δt)/JR  + x2(k-1)</t>
  </si>
  <si>
    <t>x11(k) [MW]</t>
  </si>
  <si>
    <t>x12(k) [MW]</t>
  </si>
  <si>
    <t>u2(k)</t>
  </si>
  <si>
    <t>1/1(1+pΔt)=</t>
  </si>
  <si>
    <t>f [Hz]</t>
  </si>
  <si>
    <t>Drehzahl f[rpm]</t>
  </si>
  <si>
    <t>u1/uN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</si>
</sst>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"/>
    <numFmt numFmtId="167" formatCode="0.0%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4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1" fontId="0" fillId="0" borderId="7" xfId="0" applyNumberFormat="1" applyBorder="1"/>
    <xf numFmtId="0" fontId="0" fillId="0" borderId="8" xfId="0" applyBorder="1"/>
    <xf numFmtId="11" fontId="0" fillId="0" borderId="3" xfId="0" applyNumberFormat="1" applyBorder="1"/>
    <xf numFmtId="0" fontId="0" fillId="0" borderId="0" xfId="0" applyFill="1" applyBorder="1"/>
    <xf numFmtId="164" fontId="0" fillId="0" borderId="0" xfId="0" applyNumberFormat="1" applyBorder="1"/>
    <xf numFmtId="164" fontId="0" fillId="0" borderId="7" xfId="0" applyNumberFormat="1" applyBorder="1"/>
    <xf numFmtId="2" fontId="0" fillId="0" borderId="0" xfId="0" applyNumberFormat="1" applyBorder="1"/>
    <xf numFmtId="2" fontId="0" fillId="0" borderId="7" xfId="0" applyNumberFormat="1" applyBorder="1"/>
    <xf numFmtId="0" fontId="0" fillId="0" borderId="9" xfId="0" applyBorder="1"/>
    <xf numFmtId="0" fontId="0" fillId="0" borderId="10" xfId="0" applyBorder="1"/>
    <xf numFmtId="11" fontId="0" fillId="0" borderId="11" xfId="0" applyNumberFormat="1" applyBorder="1"/>
    <xf numFmtId="0" fontId="0" fillId="0" borderId="1" xfId="0" applyFill="1" applyBorder="1"/>
    <xf numFmtId="2" fontId="0" fillId="0" borderId="2" xfId="0" applyNumberFormat="1" applyBorder="1"/>
    <xf numFmtId="0" fontId="0" fillId="0" borderId="6" xfId="0" applyFill="1" applyBorder="1"/>
    <xf numFmtId="0" fontId="0" fillId="2" borderId="10" xfId="0" applyFill="1" applyBorder="1"/>
    <xf numFmtId="11" fontId="0" fillId="0" borderId="10" xfId="0" applyNumberFormat="1" applyBorder="1"/>
    <xf numFmtId="0" fontId="0" fillId="0" borderId="11" xfId="0" applyBorder="1"/>
    <xf numFmtId="0" fontId="0" fillId="0" borderId="2" xfId="0" applyFill="1" applyBorder="1"/>
    <xf numFmtId="0" fontId="0" fillId="0" borderId="7" xfId="0" applyFill="1" applyBorder="1"/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" fontId="0" fillId="0" borderId="0" xfId="0" applyNumberFormat="1" applyBorder="1"/>
    <xf numFmtId="2" fontId="0" fillId="0" borderId="5" xfId="0" applyNumberFormat="1" applyBorder="1"/>
    <xf numFmtId="2" fontId="0" fillId="0" borderId="4" xfId="0" applyNumberFormat="1" applyBorder="1"/>
    <xf numFmtId="1" fontId="0" fillId="0" borderId="7" xfId="0" applyNumberFormat="1" applyBorder="1"/>
    <xf numFmtId="2" fontId="0" fillId="0" borderId="8" xfId="0" applyNumberFormat="1" applyBorder="1"/>
    <xf numFmtId="0" fontId="0" fillId="2" borderId="9" xfId="0" applyFill="1" applyBorder="1"/>
    <xf numFmtId="1" fontId="0" fillId="0" borderId="10" xfId="0" applyNumberFormat="1" applyBorder="1"/>
    <xf numFmtId="2" fontId="0" fillId="0" borderId="11" xfId="0" applyNumberFormat="1" applyBorder="1"/>
    <xf numFmtId="0" fontId="0" fillId="2" borderId="11" xfId="0" applyFill="1" applyBorder="1"/>
    <xf numFmtId="0" fontId="0" fillId="0" borderId="0" xfId="0" applyBorder="1" applyAlignment="1">
      <alignment horizontal="center" vertical="top"/>
    </xf>
    <xf numFmtId="0" fontId="0" fillId="2" borderId="0" xfId="0" applyFill="1" applyBorder="1"/>
    <xf numFmtId="0" fontId="0" fillId="0" borderId="9" xfId="0" applyFill="1" applyBorder="1"/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0" fillId="3" borderId="2" xfId="0" applyFill="1" applyBorder="1"/>
    <xf numFmtId="0" fontId="0" fillId="4" borderId="1" xfId="0" applyFill="1" applyBorder="1" applyAlignment="1">
      <alignment horizontal="center" vertical="top"/>
    </xf>
    <xf numFmtId="0" fontId="0" fillId="2" borderId="12" xfId="0" applyFill="1" applyBorder="1"/>
    <xf numFmtId="0" fontId="3" fillId="0" borderId="2" xfId="0" applyFont="1" applyBorder="1" applyAlignment="1">
      <alignment horizontal="center" vertical="top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2" fontId="0" fillId="0" borderId="0" xfId="0" applyNumberFormat="1"/>
    <xf numFmtId="0" fontId="0" fillId="0" borderId="4" xfId="0" applyFill="1" applyBorder="1"/>
    <xf numFmtId="0" fontId="0" fillId="0" borderId="3" xfId="0" applyFill="1" applyBorder="1"/>
    <xf numFmtId="0" fontId="0" fillId="0" borderId="8" xfId="0" applyFill="1" applyBorder="1"/>
    <xf numFmtId="0" fontId="3" fillId="0" borderId="1" xfId="0" applyFont="1" applyBorder="1"/>
    <xf numFmtId="164" fontId="0" fillId="0" borderId="0" xfId="0" applyNumberFormat="1"/>
    <xf numFmtId="165" fontId="0" fillId="0" borderId="0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9" xfId="0" applyFill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4" xfId="0" applyFill="1" applyBorder="1" applyAlignment="1">
      <alignment horizontal="left"/>
    </xf>
    <xf numFmtId="0" fontId="0" fillId="2" borderId="15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6" fontId="0" fillId="0" borderId="0" xfId="0" applyNumberForma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3" xfId="0" applyFill="1" applyBorder="1"/>
    <xf numFmtId="0" fontId="0" fillId="0" borderId="14" xfId="0" applyBorder="1"/>
    <xf numFmtId="2" fontId="0" fillId="0" borderId="15" xfId="0" applyNumberFormat="1" applyBorder="1"/>
    <xf numFmtId="2" fontId="0" fillId="0" borderId="0" xfId="0" applyNumberFormat="1" applyAlignment="1">
      <alignment horizontal="center"/>
    </xf>
    <xf numFmtId="0" fontId="0" fillId="5" borderId="0" xfId="0" applyFill="1" applyAlignment="1">
      <alignment horizontal="center"/>
    </xf>
    <xf numFmtId="0" fontId="0" fillId="5" borderId="2" xfId="0" applyFill="1" applyBorder="1"/>
    <xf numFmtId="0" fontId="0" fillId="5" borderId="3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7" xfId="0" applyFill="1" applyBorder="1"/>
    <xf numFmtId="0" fontId="0" fillId="5" borderId="8" xfId="0" applyFill="1" applyBorder="1"/>
    <xf numFmtId="0" fontId="0" fillId="0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14" xfId="0" applyFill="1" applyBorder="1"/>
    <xf numFmtId="0" fontId="0" fillId="2" borderId="15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6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 applyAlignment="1">
      <alignment horizontal="center"/>
    </xf>
    <xf numFmtId="0" fontId="0" fillId="6" borderId="0" xfId="0" applyFill="1" applyBorder="1"/>
    <xf numFmtId="0" fontId="0" fillId="6" borderId="5" xfId="0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/>
    <xf numFmtId="11" fontId="0" fillId="6" borderId="7" xfId="0" applyNumberFormat="1" applyFill="1" applyBorder="1"/>
    <xf numFmtId="0" fontId="0" fillId="5" borderId="0" xfId="0" applyFill="1" applyBorder="1" applyAlignment="1">
      <alignment horizontal="center"/>
    </xf>
    <xf numFmtId="0" fontId="0" fillId="6" borderId="0" xfId="0" applyFill="1"/>
    <xf numFmtId="0" fontId="0" fillId="0" borderId="0" xfId="0" applyFill="1"/>
    <xf numFmtId="0" fontId="0" fillId="0" borderId="0" xfId="0" applyAlignment="1">
      <alignment horizontal="left"/>
    </xf>
    <xf numFmtId="0" fontId="0" fillId="3" borderId="1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0" xfId="0" applyFill="1"/>
    <xf numFmtId="0" fontId="0" fillId="0" borderId="0" xfId="0" applyFill="1" applyAlignment="1">
      <alignment horizontal="center"/>
    </xf>
    <xf numFmtId="2" fontId="0" fillId="3" borderId="0" xfId="0" applyNumberFormat="1" applyFill="1" applyAlignment="1">
      <alignment horizontal="left"/>
    </xf>
    <xf numFmtId="2" fontId="0" fillId="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2" borderId="0" xfId="0" applyFill="1"/>
    <xf numFmtId="0" fontId="0" fillId="0" borderId="0" xfId="0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5" borderId="16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5" borderId="24" xfId="0" applyFill="1" applyBorder="1"/>
    <xf numFmtId="0" fontId="0" fillId="5" borderId="25" xfId="0" applyFill="1" applyBorder="1" applyAlignment="1">
      <alignment horizontal="left"/>
    </xf>
    <xf numFmtId="0" fontId="0" fillId="5" borderId="0" xfId="0" applyFill="1"/>
    <xf numFmtId="2" fontId="0" fillId="5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7" borderId="0" xfId="0" applyFill="1"/>
    <xf numFmtId="0" fontId="0" fillId="7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8" borderId="0" xfId="0" applyFill="1" applyBorder="1"/>
    <xf numFmtId="0" fontId="0" fillId="8" borderId="7" xfId="0" applyFill="1" applyBorder="1"/>
    <xf numFmtId="0" fontId="4" fillId="0" borderId="0" xfId="0" applyFont="1" applyFill="1" applyBorder="1"/>
    <xf numFmtId="164" fontId="0" fillId="2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164" fontId="0" fillId="0" borderId="0" xfId="0" applyNumberForma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0" borderId="26" xfId="0" applyBorder="1" applyAlignment="1">
      <alignment horizontal="center"/>
    </xf>
    <xf numFmtId="164" fontId="0" fillId="0" borderId="27" xfId="0" applyNumberFormat="1" applyFill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0" fillId="5" borderId="26" xfId="0" applyFill="1" applyBorder="1" applyAlignment="1">
      <alignment horizontal="center"/>
    </xf>
    <xf numFmtId="164" fontId="0" fillId="5" borderId="27" xfId="0" applyNumberFormat="1" applyFill="1" applyBorder="1" applyAlignment="1">
      <alignment horizontal="center"/>
    </xf>
    <xf numFmtId="164" fontId="0" fillId="5" borderId="28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2" borderId="3" xfId="0" applyFill="1" applyBorder="1"/>
    <xf numFmtId="0" fontId="0" fillId="2" borderId="5" xfId="0" applyFill="1" applyBorder="1"/>
    <xf numFmtId="0" fontId="0" fillId="2" borderId="8" xfId="0" applyFill="1" applyBorder="1"/>
    <xf numFmtId="0" fontId="0" fillId="0" borderId="0" xfId="0" applyBorder="1" applyAlignment="1">
      <alignment horizontal="right"/>
    </xf>
    <xf numFmtId="0" fontId="0" fillId="5" borderId="3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1" fontId="0" fillId="0" borderId="0" xfId="0" applyNumberFormat="1"/>
    <xf numFmtId="166" fontId="0" fillId="0" borderId="0" xfId="0" applyNumberFormat="1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167" fontId="0" fillId="0" borderId="0" xfId="0" applyNumberFormat="1" applyAlignment="1">
      <alignment horizontal="center"/>
    </xf>
    <xf numFmtId="166" fontId="0" fillId="0" borderId="0" xfId="0" applyNumberFormat="1" applyFill="1"/>
    <xf numFmtId="0" fontId="4" fillId="0" borderId="0" xfId="0" applyFont="1" applyAlignment="1">
      <alignment horizontal="center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53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Besuchter Link" xfId="274" builtinId="9" hidden="1"/>
    <cellStyle name="Besuchter Link" xfId="276" builtinId="9" hidden="1"/>
    <cellStyle name="Besuchter Link" xfId="278" builtinId="9" hidden="1"/>
    <cellStyle name="Besuchter Link" xfId="280" builtinId="9" hidden="1"/>
    <cellStyle name="Besuchter Link" xfId="282" builtinId="9" hidden="1"/>
    <cellStyle name="Besuchter Link" xfId="284" builtinId="9" hidden="1"/>
    <cellStyle name="Besuchter Link" xfId="286" builtinId="9" hidden="1"/>
    <cellStyle name="Besuchter Link" xfId="288" builtinId="9" hidden="1"/>
    <cellStyle name="Besuchter Link" xfId="290" builtinId="9" hidden="1"/>
    <cellStyle name="Besuchter Link" xfId="292" builtinId="9" hidden="1"/>
    <cellStyle name="Besuchter Link" xfId="294" builtinId="9" hidden="1"/>
    <cellStyle name="Besuchter Link" xfId="296" builtinId="9" hidden="1"/>
    <cellStyle name="Besuchter Link" xfId="298" builtinId="9" hidden="1"/>
    <cellStyle name="Besuchter Link" xfId="300" builtinId="9" hidden="1"/>
    <cellStyle name="Besuchter Link" xfId="302" builtinId="9" hidden="1"/>
    <cellStyle name="Besuchter Link" xfId="304" builtinId="9" hidden="1"/>
    <cellStyle name="Besuchter Link" xfId="306" builtinId="9" hidden="1"/>
    <cellStyle name="Besuchter Link" xfId="308" builtinId="9" hidden="1"/>
    <cellStyle name="Besuchter Link" xfId="310" builtinId="9" hidden="1"/>
    <cellStyle name="Besuchter Link" xfId="312" builtinId="9" hidden="1"/>
    <cellStyle name="Besuchter Link" xfId="314" builtinId="9" hidden="1"/>
    <cellStyle name="Besuchter Link" xfId="316" builtinId="9" hidden="1"/>
    <cellStyle name="Besuchter Link" xfId="318" builtinId="9" hidden="1"/>
    <cellStyle name="Besuchter Link" xfId="320" builtinId="9" hidden="1"/>
    <cellStyle name="Besuchter Link" xfId="322" builtinId="9" hidden="1"/>
    <cellStyle name="Besuchter Link" xfId="324" builtinId="9" hidden="1"/>
    <cellStyle name="Besuchter Link" xfId="326" builtinId="9" hidden="1"/>
    <cellStyle name="Besuchter Link" xfId="328" builtinId="9" hidden="1"/>
    <cellStyle name="Besuchter Link" xfId="330" builtinId="9" hidden="1"/>
    <cellStyle name="Besuchter Link" xfId="332" builtinId="9" hidden="1"/>
    <cellStyle name="Besuchter Link" xfId="334" builtinId="9" hidden="1"/>
    <cellStyle name="Besuchter Link" xfId="336" builtinId="9" hidden="1"/>
    <cellStyle name="Besuchter Link" xfId="338" builtinId="9" hidden="1"/>
    <cellStyle name="Besuchter Link" xfId="340" builtinId="9" hidden="1"/>
    <cellStyle name="Besuchter Link" xfId="342" builtinId="9" hidden="1"/>
    <cellStyle name="Besuchter Link" xfId="344" builtinId="9" hidden="1"/>
    <cellStyle name="Besuchter Link" xfId="346" builtinId="9" hidden="1"/>
    <cellStyle name="Besuchter Link" xfId="348" builtinId="9" hidden="1"/>
    <cellStyle name="Besuchter Link" xfId="350" builtinId="9" hidden="1"/>
    <cellStyle name="Besuchter Link" xfId="352" builtinId="9" hidden="1"/>
    <cellStyle name="Besuchter Link" xfId="354" builtinId="9" hidden="1"/>
    <cellStyle name="Besuchter Link" xfId="356" builtinId="9" hidden="1"/>
    <cellStyle name="Besuchter Link" xfId="358" builtinId="9" hidden="1"/>
    <cellStyle name="Besuchter Link" xfId="360" builtinId="9" hidden="1"/>
    <cellStyle name="Besuchter Link" xfId="362" builtinId="9" hidden="1"/>
    <cellStyle name="Besuchter Link" xfId="364" builtinId="9" hidden="1"/>
    <cellStyle name="Besuchter Link" xfId="366" builtinId="9" hidden="1"/>
    <cellStyle name="Besuchter Link" xfId="368" builtinId="9" hidden="1"/>
    <cellStyle name="Besuchter Link" xfId="370" builtinId="9" hidden="1"/>
    <cellStyle name="Besuchter Link" xfId="372" builtinId="9" hidden="1"/>
    <cellStyle name="Besuchter Link" xfId="374" builtinId="9" hidden="1"/>
    <cellStyle name="Besuchter Link" xfId="376" builtinId="9" hidden="1"/>
    <cellStyle name="Besuchter Link" xfId="378" builtinId="9" hidden="1"/>
    <cellStyle name="Besuchter Link" xfId="380" builtinId="9" hidden="1"/>
    <cellStyle name="Besuchter Link" xfId="382" builtinId="9" hidden="1"/>
    <cellStyle name="Besuchter Link" xfId="384" builtinId="9" hidden="1"/>
    <cellStyle name="Besuchter Link" xfId="386" builtinId="9" hidden="1"/>
    <cellStyle name="Besuchter Link" xfId="388" builtinId="9" hidden="1"/>
    <cellStyle name="Besuchter Link" xfId="390" builtinId="9" hidden="1"/>
    <cellStyle name="Besuchter Link" xfId="392" builtinId="9" hidden="1"/>
    <cellStyle name="Besuchter Link" xfId="394" builtinId="9" hidden="1"/>
    <cellStyle name="Besuchter Link" xfId="396" builtinId="9" hidden="1"/>
    <cellStyle name="Besuchter Link" xfId="398" builtinId="9" hidden="1"/>
    <cellStyle name="Besuchter Link" xfId="400" builtinId="9" hidden="1"/>
    <cellStyle name="Besuchter Link" xfId="402" builtinId="9" hidden="1"/>
    <cellStyle name="Besuchter Link" xfId="404" builtinId="9" hidden="1"/>
    <cellStyle name="Besuchter Link" xfId="406" builtinId="9" hidden="1"/>
    <cellStyle name="Besuchter Link" xfId="408" builtinId="9" hidden="1"/>
    <cellStyle name="Besuchter Link" xfId="410" builtinId="9" hidden="1"/>
    <cellStyle name="Besuchter Link" xfId="412" builtinId="9" hidden="1"/>
    <cellStyle name="Besuchter Link" xfId="414" builtinId="9" hidden="1"/>
    <cellStyle name="Besuchter Link" xfId="416" builtinId="9" hidden="1"/>
    <cellStyle name="Besuchter Link" xfId="418" builtinId="9" hidden="1"/>
    <cellStyle name="Besuchter Link" xfId="420" builtinId="9" hidden="1"/>
    <cellStyle name="Besuchter Link" xfId="422" builtinId="9" hidden="1"/>
    <cellStyle name="Besuchter Link" xfId="424" builtinId="9" hidden="1"/>
    <cellStyle name="Besuchter Link" xfId="426" builtinId="9" hidden="1"/>
    <cellStyle name="Besuchter Link" xfId="428" builtinId="9" hidden="1"/>
    <cellStyle name="Besuchter Link" xfId="430" builtinId="9" hidden="1"/>
    <cellStyle name="Besuchter Link" xfId="432" builtinId="9" hidden="1"/>
    <cellStyle name="Besuchter Link" xfId="434" builtinId="9" hidden="1"/>
    <cellStyle name="Besuchter Link" xfId="436" builtinId="9" hidden="1"/>
    <cellStyle name="Besuchter Link" xfId="438" builtinId="9" hidden="1"/>
    <cellStyle name="Besuchter Link" xfId="440" builtinId="9" hidden="1"/>
    <cellStyle name="Besuchter Link" xfId="442" builtinId="9" hidden="1"/>
    <cellStyle name="Besuchter Link" xfId="444" builtinId="9" hidden="1"/>
    <cellStyle name="Besuchter Link" xfId="446" builtinId="9" hidden="1"/>
    <cellStyle name="Besuchter Link" xfId="448" builtinId="9" hidden="1"/>
    <cellStyle name="Besuchter Link" xfId="450" builtinId="9" hidden="1"/>
    <cellStyle name="Besuchter Link" xfId="452" builtinId="9" hidden="1"/>
    <cellStyle name="Besuchter Link" xfId="454" builtinId="9" hidden="1"/>
    <cellStyle name="Besuchter Link" xfId="456" builtinId="9" hidden="1"/>
    <cellStyle name="Besuchter Link" xfId="458" builtinId="9" hidden="1"/>
    <cellStyle name="Besuchter Link" xfId="460" builtinId="9" hidden="1"/>
    <cellStyle name="Besuchter Link" xfId="462" builtinId="9" hidden="1"/>
    <cellStyle name="Besuchter Link" xfId="464" builtinId="9" hidden="1"/>
    <cellStyle name="Besuchter Link" xfId="466" builtinId="9" hidden="1"/>
    <cellStyle name="Besuchter Link" xfId="468" builtinId="9" hidden="1"/>
    <cellStyle name="Besuchter Link" xfId="470" builtinId="9" hidden="1"/>
    <cellStyle name="Besuchter Link" xfId="472" builtinId="9" hidden="1"/>
    <cellStyle name="Besuchter Link" xfId="474" builtinId="9" hidden="1"/>
    <cellStyle name="Besuchter Link" xfId="476" builtinId="9" hidden="1"/>
    <cellStyle name="Besuchter Link" xfId="478" builtinId="9" hidden="1"/>
    <cellStyle name="Besuchter Link" xfId="480" builtinId="9" hidden="1"/>
    <cellStyle name="Besuchter Link" xfId="482" builtinId="9" hidden="1"/>
    <cellStyle name="Besuchter Link" xfId="484" builtinId="9" hidden="1"/>
    <cellStyle name="Besuchter Link" xfId="486" builtinId="9" hidden="1"/>
    <cellStyle name="Besuchter Link" xfId="488" builtinId="9" hidden="1"/>
    <cellStyle name="Besuchter Link" xfId="490" builtinId="9" hidden="1"/>
    <cellStyle name="Besuchter Link" xfId="492" builtinId="9" hidden="1"/>
    <cellStyle name="Besuchter Link" xfId="494" builtinId="9" hidden="1"/>
    <cellStyle name="Besuchter Link" xfId="496" builtinId="9" hidden="1"/>
    <cellStyle name="Besuchter Link" xfId="498" builtinId="9" hidden="1"/>
    <cellStyle name="Besuchter Link" xfId="500" builtinId="9" hidden="1"/>
    <cellStyle name="Besuchter Link" xfId="502" builtinId="9" hidden="1"/>
    <cellStyle name="Besuchter Link" xfId="504" builtinId="9" hidden="1"/>
    <cellStyle name="Besuchter Link" xfId="506" builtinId="9" hidden="1"/>
    <cellStyle name="Besuchter Link" xfId="508" builtinId="9" hidden="1"/>
    <cellStyle name="Besuchter Link" xfId="510" builtinId="9" hidden="1"/>
    <cellStyle name="Besuchter Link" xfId="512" builtinId="9" hidden="1"/>
    <cellStyle name="Besuchter Link" xfId="514" builtinId="9" hidden="1"/>
    <cellStyle name="Besuchter Link" xfId="516" builtinId="9" hidden="1"/>
    <cellStyle name="Besuchter Link" xfId="518" builtinId="9" hidden="1"/>
    <cellStyle name="Besuchter Link" xfId="520" builtinId="9" hidden="1"/>
    <cellStyle name="Besuchter Link" xfId="522" builtinId="9" hidden="1"/>
    <cellStyle name="Besuchter Link" xfId="524" builtinId="9" hidden="1"/>
    <cellStyle name="Besuchter Link" xfId="526" builtinId="9" hidden="1"/>
    <cellStyle name="Besuchter Link" xfId="528" builtinId="9" hidden="1"/>
    <cellStyle name="Besuchter Link" xfId="530" builtinId="9" hidden="1"/>
    <cellStyle name="Besuchter Link" xfId="532" builtinId="9" hidden="1"/>
    <cellStyle name="Besuchter Link" xfId="534" builtinId="9" hidden="1"/>
    <cellStyle name="Besuchter Link" xfId="53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Link" xfId="443" builtinId="8" hidden="1"/>
    <cellStyle name="Link" xfId="445" builtinId="8" hidden="1"/>
    <cellStyle name="Link" xfId="447" builtinId="8" hidden="1"/>
    <cellStyle name="Link" xfId="449" builtinId="8" hidden="1"/>
    <cellStyle name="Link" xfId="451" builtinId="8" hidden="1"/>
    <cellStyle name="Link" xfId="453" builtinId="8" hidden="1"/>
    <cellStyle name="Link" xfId="455" builtinId="8" hidden="1"/>
    <cellStyle name="Link" xfId="457" builtinId="8" hidden="1"/>
    <cellStyle name="Link" xfId="459" builtinId="8" hidden="1"/>
    <cellStyle name="Link" xfId="461" builtinId="8" hidden="1"/>
    <cellStyle name="Link" xfId="463" builtinId="8" hidden="1"/>
    <cellStyle name="Link" xfId="465" builtinId="8" hidden="1"/>
    <cellStyle name="Link" xfId="467" builtinId="8" hidden="1"/>
    <cellStyle name="Link" xfId="469" builtinId="8" hidden="1"/>
    <cellStyle name="Link" xfId="471" builtinId="8" hidden="1"/>
    <cellStyle name="Link" xfId="473" builtinId="8" hidden="1"/>
    <cellStyle name="Link" xfId="475" builtinId="8" hidden="1"/>
    <cellStyle name="Link" xfId="477" builtinId="8" hidden="1"/>
    <cellStyle name="Link" xfId="479" builtinId="8" hidden="1"/>
    <cellStyle name="Link" xfId="481" builtinId="8" hidden="1"/>
    <cellStyle name="Link" xfId="483" builtinId="8" hidden="1"/>
    <cellStyle name="Link" xfId="485" builtinId="8" hidden="1"/>
    <cellStyle name="Link" xfId="487" builtinId="8" hidden="1"/>
    <cellStyle name="Link" xfId="489" builtinId="8" hidden="1"/>
    <cellStyle name="Link" xfId="491" builtinId="8" hidden="1"/>
    <cellStyle name="Link" xfId="493" builtinId="8" hidden="1"/>
    <cellStyle name="Link" xfId="495" builtinId="8" hidden="1"/>
    <cellStyle name="Link" xfId="497" builtinId="8" hidden="1"/>
    <cellStyle name="Link" xfId="499" builtinId="8" hidden="1"/>
    <cellStyle name="Link" xfId="501" builtinId="8" hidden="1"/>
    <cellStyle name="Link" xfId="503" builtinId="8" hidden="1"/>
    <cellStyle name="Link" xfId="505" builtinId="8" hidden="1"/>
    <cellStyle name="Link" xfId="507" builtinId="8" hidden="1"/>
    <cellStyle name="Link" xfId="509" builtinId="8" hidden="1"/>
    <cellStyle name="Link" xfId="511" builtinId="8" hidden="1"/>
    <cellStyle name="Link" xfId="513" builtinId="8" hidden="1"/>
    <cellStyle name="Link" xfId="515" builtinId="8" hidden="1"/>
    <cellStyle name="Link" xfId="517" builtinId="8" hidden="1"/>
    <cellStyle name="Link" xfId="519" builtinId="8" hidden="1"/>
    <cellStyle name="Link" xfId="521" builtinId="8" hidden="1"/>
    <cellStyle name="Link" xfId="523" builtinId="8" hidden="1"/>
    <cellStyle name="Link" xfId="525" builtinId="8" hidden="1"/>
    <cellStyle name="Link" xfId="527" builtinId="8" hidden="1"/>
    <cellStyle name="Link" xfId="529" builtinId="8" hidden="1"/>
    <cellStyle name="Link" xfId="531" builtinId="8" hidden="1"/>
    <cellStyle name="Link" xfId="533" builtinId="8" hidden="1"/>
    <cellStyle name="Link" xfId="535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theme" Target="theme/theme1.xml"/><Relationship Id="rId25" Type="http://schemas.openxmlformats.org/officeDocument/2006/relationships/styles" Target="styles.xml"/><Relationship Id="rId26" Type="http://schemas.openxmlformats.org/officeDocument/2006/relationships/sharedStrings" Target="sharedStrings.xml"/><Relationship Id="rId27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Steuerung!$E$12</c:f>
              <c:strCache>
                <c:ptCount val="1"/>
                <c:pt idx="0">
                  <c:v>Drehzahl f</c:v>
                </c:pt>
              </c:strCache>
            </c:strRef>
          </c:tx>
          <c:val>
            <c:numRef>
              <c:f>Steuerung!$E$13:$E$113</c:f>
              <c:numCache>
                <c:formatCode>General</c:formatCode>
                <c:ptCount val="101"/>
                <c:pt idx="1">
                  <c:v>3900.0</c:v>
                </c:pt>
                <c:pt idx="2">
                  <c:v>3900.0</c:v>
                </c:pt>
                <c:pt idx="3">
                  <c:v>3900.0</c:v>
                </c:pt>
                <c:pt idx="4">
                  <c:v>3900.0</c:v>
                </c:pt>
                <c:pt idx="5">
                  <c:v>3900.0</c:v>
                </c:pt>
                <c:pt idx="6">
                  <c:v>3900.0</c:v>
                </c:pt>
                <c:pt idx="7">
                  <c:v>3900.0</c:v>
                </c:pt>
                <c:pt idx="8">
                  <c:v>3900.0</c:v>
                </c:pt>
                <c:pt idx="9">
                  <c:v>3900.0</c:v>
                </c:pt>
                <c:pt idx="10">
                  <c:v>3900.0</c:v>
                </c:pt>
                <c:pt idx="11">
                  <c:v>3900.0</c:v>
                </c:pt>
                <c:pt idx="12">
                  <c:v>3900.0</c:v>
                </c:pt>
                <c:pt idx="13">
                  <c:v>3900.0</c:v>
                </c:pt>
                <c:pt idx="14">
                  <c:v>3900.0</c:v>
                </c:pt>
                <c:pt idx="15">
                  <c:v>3900.0</c:v>
                </c:pt>
                <c:pt idx="16">
                  <c:v>3900.0</c:v>
                </c:pt>
                <c:pt idx="17">
                  <c:v>3900.0</c:v>
                </c:pt>
                <c:pt idx="18">
                  <c:v>3900.0</c:v>
                </c:pt>
                <c:pt idx="19">
                  <c:v>3900.0</c:v>
                </c:pt>
                <c:pt idx="20">
                  <c:v>3900.0</c:v>
                </c:pt>
                <c:pt idx="21">
                  <c:v>3900.0</c:v>
                </c:pt>
                <c:pt idx="22">
                  <c:v>3900.0</c:v>
                </c:pt>
                <c:pt idx="23">
                  <c:v>3900.0</c:v>
                </c:pt>
                <c:pt idx="24">
                  <c:v>3900.0</c:v>
                </c:pt>
                <c:pt idx="25">
                  <c:v>3900.0</c:v>
                </c:pt>
                <c:pt idx="26">
                  <c:v>3900.0</c:v>
                </c:pt>
                <c:pt idx="27">
                  <c:v>3900.0</c:v>
                </c:pt>
                <c:pt idx="28">
                  <c:v>3900.0</c:v>
                </c:pt>
                <c:pt idx="29">
                  <c:v>3900.0</c:v>
                </c:pt>
                <c:pt idx="30">
                  <c:v>3900.0</c:v>
                </c:pt>
                <c:pt idx="31">
                  <c:v>3900.0</c:v>
                </c:pt>
                <c:pt idx="32">
                  <c:v>3900.0</c:v>
                </c:pt>
                <c:pt idx="33">
                  <c:v>3900.0</c:v>
                </c:pt>
                <c:pt idx="34">
                  <c:v>3900.0</c:v>
                </c:pt>
                <c:pt idx="35">
                  <c:v>3900.0</c:v>
                </c:pt>
                <c:pt idx="36">
                  <c:v>3900.0</c:v>
                </c:pt>
                <c:pt idx="37">
                  <c:v>3900.0</c:v>
                </c:pt>
                <c:pt idx="38">
                  <c:v>3900.0</c:v>
                </c:pt>
                <c:pt idx="39">
                  <c:v>3900.0</c:v>
                </c:pt>
                <c:pt idx="40">
                  <c:v>3900.0</c:v>
                </c:pt>
                <c:pt idx="41">
                  <c:v>3900.0</c:v>
                </c:pt>
                <c:pt idx="42">
                  <c:v>3000.0</c:v>
                </c:pt>
                <c:pt idx="43">
                  <c:v>3000.0</c:v>
                </c:pt>
                <c:pt idx="44">
                  <c:v>3000.0</c:v>
                </c:pt>
                <c:pt idx="45">
                  <c:v>3000.0</c:v>
                </c:pt>
                <c:pt idx="46">
                  <c:v>3000.0</c:v>
                </c:pt>
                <c:pt idx="47">
                  <c:v>3000.0</c:v>
                </c:pt>
                <c:pt idx="48">
                  <c:v>3000.0</c:v>
                </c:pt>
                <c:pt idx="49">
                  <c:v>3000.0</c:v>
                </c:pt>
                <c:pt idx="50">
                  <c:v>3000.0</c:v>
                </c:pt>
                <c:pt idx="51">
                  <c:v>3000.0</c:v>
                </c:pt>
                <c:pt idx="52">
                  <c:v>3000.0</c:v>
                </c:pt>
                <c:pt idx="53">
                  <c:v>3000.0</c:v>
                </c:pt>
                <c:pt idx="54">
                  <c:v>3000.0</c:v>
                </c:pt>
                <c:pt idx="55">
                  <c:v>3000.0</c:v>
                </c:pt>
                <c:pt idx="56">
                  <c:v>3000.0</c:v>
                </c:pt>
                <c:pt idx="57">
                  <c:v>3000.0</c:v>
                </c:pt>
                <c:pt idx="58">
                  <c:v>3000.0</c:v>
                </c:pt>
                <c:pt idx="59">
                  <c:v>3000.0</c:v>
                </c:pt>
                <c:pt idx="60">
                  <c:v>3000.0</c:v>
                </c:pt>
                <c:pt idx="61">
                  <c:v>3000.0</c:v>
                </c:pt>
                <c:pt idx="62">
                  <c:v>3000.0</c:v>
                </c:pt>
                <c:pt idx="63">
                  <c:v>3000.0</c:v>
                </c:pt>
                <c:pt idx="64">
                  <c:v>3000.0</c:v>
                </c:pt>
                <c:pt idx="65">
                  <c:v>3000.0</c:v>
                </c:pt>
                <c:pt idx="66">
                  <c:v>3000.0</c:v>
                </c:pt>
                <c:pt idx="67">
                  <c:v>3000.0</c:v>
                </c:pt>
                <c:pt idx="68">
                  <c:v>3000.0</c:v>
                </c:pt>
                <c:pt idx="69">
                  <c:v>3000.0</c:v>
                </c:pt>
                <c:pt idx="70">
                  <c:v>3000.0</c:v>
                </c:pt>
                <c:pt idx="71">
                  <c:v>3000.0</c:v>
                </c:pt>
                <c:pt idx="72">
                  <c:v>3000.0</c:v>
                </c:pt>
                <c:pt idx="73">
                  <c:v>3000.0</c:v>
                </c:pt>
                <c:pt idx="74">
                  <c:v>3000.0</c:v>
                </c:pt>
                <c:pt idx="75">
                  <c:v>3000.0</c:v>
                </c:pt>
                <c:pt idx="76">
                  <c:v>3000.0</c:v>
                </c:pt>
                <c:pt idx="77">
                  <c:v>3000.0</c:v>
                </c:pt>
                <c:pt idx="78">
                  <c:v>3000.0</c:v>
                </c:pt>
                <c:pt idx="79">
                  <c:v>3000.0</c:v>
                </c:pt>
                <c:pt idx="80">
                  <c:v>3000.0</c:v>
                </c:pt>
                <c:pt idx="81">
                  <c:v>336</c:v>
                </c:pt>
                <c:pt idx="82">
                  <c:v>336</c:v>
                </c:pt>
                <c:pt idx="83">
                  <c:v>336</c:v>
                </c:pt>
                <c:pt idx="84">
                  <c:v>336</c:v>
                </c:pt>
                <c:pt idx="85">
                  <c:v>336</c:v>
                </c:pt>
                <c:pt idx="86">
                  <c:v>336</c:v>
                </c:pt>
                <c:pt idx="87">
                  <c:v>336</c:v>
                </c:pt>
                <c:pt idx="88">
                  <c:v>336</c:v>
                </c:pt>
                <c:pt idx="89">
                  <c:v>336</c:v>
                </c:pt>
                <c:pt idx="90">
                  <c:v>336</c:v>
                </c:pt>
                <c:pt idx="91">
                  <c:v>336</c:v>
                </c:pt>
                <c:pt idx="92">
                  <c:v>336</c:v>
                </c:pt>
                <c:pt idx="93">
                  <c:v>336</c:v>
                </c:pt>
                <c:pt idx="94">
                  <c:v>336</c:v>
                </c:pt>
                <c:pt idx="95">
                  <c:v>336</c:v>
                </c:pt>
                <c:pt idx="96">
                  <c:v>336</c:v>
                </c:pt>
                <c:pt idx="97">
                  <c:v>336</c:v>
                </c:pt>
                <c:pt idx="98">
                  <c:v>336</c:v>
                </c:pt>
                <c:pt idx="99">
                  <c:v>336</c:v>
                </c:pt>
                <c:pt idx="100">
                  <c:v>336</c:v>
                </c:pt>
              </c:numCache>
            </c:numRef>
          </c:val>
          <c:smooth val="0"/>
        </c:ser>
        <c:ser>
          <c:idx val="7"/>
          <c:order val="1"/>
          <c:tx>
            <c:strRef>
              <c:f>Steuerung!$H$12</c:f>
              <c:strCache>
                <c:ptCount val="1"/>
                <c:pt idx="0">
                  <c:v>f(k) [rpm]</c:v>
                </c:pt>
              </c:strCache>
            </c:strRef>
          </c:tx>
          <c:val>
            <c:numRef>
              <c:f>Steuerung!$H$13:$H$113</c:f>
              <c:numCache>
                <c:formatCode>0</c:formatCode>
                <c:ptCount val="101"/>
                <c:pt idx="0">
                  <c:v>0.0</c:v>
                </c:pt>
                <c:pt idx="1">
                  <c:v>438.3139827824872</c:v>
                </c:pt>
                <c:pt idx="2">
                  <c:v>827.3666456925009</c:v>
                </c:pt>
                <c:pt idx="3">
                  <c:v>1172.694379835279</c:v>
                </c:pt>
                <c:pt idx="4">
                  <c:v>1479.211351281294</c:v>
                </c:pt>
                <c:pt idx="5">
                  <c:v>1751.279431818353</c:v>
                </c:pt>
                <c:pt idx="6">
                  <c:v>1992.770270312288</c:v>
                </c:pt>
                <c:pt idx="7">
                  <c:v>2207.120387979106</c:v>
                </c:pt>
                <c:pt idx="8">
                  <c:v>2397.380081598631</c:v>
                </c:pt>
                <c:pt idx="9">
                  <c:v>2566.256830583965</c:v>
                </c:pt>
                <c:pt idx="10">
                  <c:v>2716.153825608498</c:v>
                </c:pt>
                <c:pt idx="11">
                  <c:v>2849.20416706987</c:v>
                </c:pt>
                <c:pt idx="12">
                  <c:v>2967.301220050087</c:v>
                </c:pt>
                <c:pt idx="13">
                  <c:v>3072.125557736295</c:v>
                </c:pt>
                <c:pt idx="14">
                  <c:v>3165.168876718971</c:v>
                </c:pt>
                <c:pt idx="15">
                  <c:v>3247.755224492776</c:v>
                </c:pt>
                <c:pt idx="16">
                  <c:v>3321.059841236787</c:v>
                </c:pt>
                <c:pt idx="17">
                  <c:v>3386.125884000948</c:v>
                </c:pt>
                <c:pt idx="18">
                  <c:v>3443.8792712913</c:v>
                </c:pt>
                <c:pt idx="19">
                  <c:v>3495.141859298983</c:v>
                </c:pt>
                <c:pt idx="20">
                  <c:v>3540.643137276566</c:v>
                </c:pt>
                <c:pt idx="21">
                  <c:v>3581.030608492087</c:v>
                </c:pt>
                <c:pt idx="22">
                  <c:v>3616.879004486328</c:v>
                </c:pt>
                <c:pt idx="23">
                  <c:v>3648.698463756313</c:v>
                </c:pt>
                <c:pt idx="24">
                  <c:v>3676.94179125127</c:v>
                </c:pt>
                <c:pt idx="25">
                  <c:v>3702.010901986906</c:v>
                </c:pt>
                <c:pt idx="26">
                  <c:v>3724.26254047348</c:v>
                </c:pt>
                <c:pt idx="27">
                  <c:v>3744.01335734762</c:v>
                </c:pt>
                <c:pt idx="28">
                  <c:v>3761.544415450654</c:v>
                </c:pt>
                <c:pt idx="29">
                  <c:v>3777.105189476885</c:v>
                </c:pt>
                <c:pt idx="30">
                  <c:v>3790.9171161086</c:v>
                </c:pt>
                <c:pt idx="31">
                  <c:v>3803.176745157789</c:v>
                </c:pt>
                <c:pt idx="32">
                  <c:v>3814.058536556727</c:v>
                </c:pt>
                <c:pt idx="33">
                  <c:v>3823.717342999798</c:v>
                </c:pt>
                <c:pt idx="34">
                  <c:v>3832.290613565693</c:v>
                </c:pt>
                <c:pt idx="35">
                  <c:v>3839.900349678457</c:v>
                </c:pt>
                <c:pt idx="36">
                  <c:v>3846.654841241603</c:v>
                </c:pt>
                <c:pt idx="37">
                  <c:v>3852.650207651234</c:v>
                </c:pt>
                <c:pt idx="38">
                  <c:v>3857.971765617468</c:v>
                </c:pt>
                <c:pt idx="39">
                  <c:v>3862.695243258884</c:v>
                </c:pt>
                <c:pt idx="40">
                  <c:v>3866.887857747071</c:v>
                </c:pt>
                <c:pt idx="41">
                  <c:v>3870.609271836647</c:v>
                </c:pt>
                <c:pt idx="42">
                  <c:v>3772.763062250472</c:v>
                </c:pt>
                <c:pt idx="43">
                  <c:v>3685.91361210632</c:v>
                </c:pt>
                <c:pt idx="44">
                  <c:v>3608.825015396822</c:v>
                </c:pt>
                <c:pt idx="45">
                  <c:v>3540.400267367029</c:v>
                </c:pt>
                <c:pt idx="46">
                  <c:v>3479.665653652577</c:v>
                </c:pt>
                <c:pt idx="47">
                  <c:v>3425.756893894519</c:v>
                </c:pt>
                <c:pt idx="48">
                  <c:v>3377.906842648363</c:v>
                </c:pt>
                <c:pt idx="49">
                  <c:v>3335.43457256581</c:v>
                </c:pt>
                <c:pt idx="50">
                  <c:v>3297.735684498051</c:v>
                </c:pt>
                <c:pt idx="51">
                  <c:v>3264.273706629125</c:v>
                </c:pt>
                <c:pt idx="52">
                  <c:v>3234.572460245201</c:v>
                </c:pt>
                <c:pt idx="53">
                  <c:v>3208.209283501314</c:v>
                </c:pt>
                <c:pt idx="54">
                  <c:v>3184.809016756762</c:v>
                </c:pt>
                <c:pt idx="55">
                  <c:v>3164.038663887847</c:v>
                </c:pt>
                <c:pt idx="56">
                  <c:v>3145.602653606052</c:v>
                </c:pt>
                <c:pt idx="57">
                  <c:v>3129.238633348163</c:v>
                </c:pt>
                <c:pt idx="58">
                  <c:v>3114.713735883496</c:v>
                </c:pt>
                <c:pt idx="59">
                  <c:v>3101.821265510432</c:v>
                </c:pt>
                <c:pt idx="60">
                  <c:v>3090.377756685346</c:v>
                </c:pt>
                <c:pt idx="61">
                  <c:v>3080.220363226962</c:v>
                </c:pt>
                <c:pt idx="62">
                  <c:v>3071.204540943304</c:v>
                </c:pt>
                <c:pt idx="63">
                  <c:v>3063.201990704059</c:v>
                </c:pt>
                <c:pt idx="64">
                  <c:v>3056.098832687321</c:v>
                </c:pt>
                <c:pt idx="65">
                  <c:v>3049.793985819467</c:v>
                </c:pt>
                <c:pt idx="66">
                  <c:v>3044.197729346865</c:v>
                </c:pt>
                <c:pt idx="67">
                  <c:v>3039.230426069951</c:v>
                </c:pt>
                <c:pt idx="68">
                  <c:v>3034.821389070727</c:v>
                </c:pt>
                <c:pt idx="69">
                  <c:v>3030.907875806724</c:v>
                </c:pt>
                <c:pt idx="70">
                  <c:v>3027.434195256932</c:v>
                </c:pt>
                <c:pt idx="71">
                  <c:v>3024.350915413983</c:v>
                </c:pt>
                <c:pt idx="72">
                  <c:v>3021.61415984488</c:v>
                </c:pt>
                <c:pt idx="73">
                  <c:v>3019.184983309981</c:v>
                </c:pt>
                <c:pt idx="74">
                  <c:v>3017.028817555055</c:v>
                </c:pt>
                <c:pt idx="75">
                  <c:v>3015.114979389764</c:v>
                </c:pt>
                <c:pt idx="76">
                  <c:v>3013.416234052328</c:v>
                </c:pt>
                <c:pt idx="77">
                  <c:v>3011.908407646836</c:v>
                </c:pt>
                <c:pt idx="78">
                  <c:v>3010.570043138045</c:v>
                </c:pt>
                <c:pt idx="79">
                  <c:v>3009.382095008297</c:v>
                </c:pt>
                <c:pt idx="80">
                  <c:v>3008.327658231391</c:v>
                </c:pt>
                <c:pt idx="81">
                  <c:v>3047.851479963454</c:v>
                </c:pt>
                <c:pt idx="82">
                  <c:v>3082.93329048573</c:v>
                </c:pt>
                <c:pt idx="83">
                  <c:v>3114.072319445638</c:v>
                </c:pt>
                <c:pt idx="84">
                  <c:v>3141.711688968776</c:v>
                </c:pt>
                <c:pt idx="85">
                  <c:v>3166.244719482356</c:v>
                </c:pt>
                <c:pt idx="86">
                  <c:v>3188.020526838464</c:v>
                </c:pt>
                <c:pt idx="87">
                  <c:v>3207.348990386738</c:v>
                </c:pt>
                <c:pt idx="88">
                  <c:v>3224.505162694266</c:v>
                </c:pt>
                <c:pt idx="89">
                  <c:v>3239.73318366502</c:v>
                </c:pt>
                <c:pt idx="90">
                  <c:v>3253.249754758444</c:v>
                </c:pt>
                <c:pt idx="91">
                  <c:v>3265.247222746863</c:v>
                </c:pt>
                <c:pt idx="92">
                  <c:v>3275.896316894946</c:v>
                </c:pt>
                <c:pt idx="93">
                  <c:v>3285.348578512498</c:v>
                </c:pt>
                <c:pt idx="94">
                  <c:v>3293.738517454181</c:v>
                </c:pt>
                <c:pt idx="95">
                  <c:v>3301.185526254112</c:v>
                </c:pt>
                <c:pt idx="96">
                  <c:v>3307.795579134322</c:v>
                </c:pt>
                <c:pt idx="97">
                  <c:v>3313.662740064703</c:v>
                </c:pt>
                <c:pt idx="98">
                  <c:v>3318.870501334823</c:v>
                </c:pt>
                <c:pt idx="99">
                  <c:v>3323.492971686048</c:v>
                </c:pt>
                <c:pt idx="100">
                  <c:v>3327.59593091165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766776"/>
        <c:axId val="2084754680"/>
      </c:lineChart>
      <c:catAx>
        <c:axId val="2084766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754680"/>
        <c:crosses val="autoZero"/>
        <c:auto val="1"/>
        <c:lblAlgn val="ctr"/>
        <c:lblOffset val="100"/>
        <c:noMultiLvlLbl val="0"/>
      </c:catAx>
      <c:valAx>
        <c:axId val="2084754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2084766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Regelung_2!$D$12:$D$13</c:f>
              <c:strCache>
                <c:ptCount val="1"/>
                <c:pt idx="0">
                  <c:v>e(k) 0</c:v>
                </c:pt>
              </c:strCache>
            </c:strRef>
          </c:tx>
          <c:val>
            <c:numRef>
              <c:f>Regelung_2!$D$14:$D$113</c:f>
              <c:numCache>
                <c:formatCode>0.00</c:formatCode>
                <c:ptCount val="100"/>
                <c:pt idx="0">
                  <c:v>0.000115074945924941</c:v>
                </c:pt>
                <c:pt idx="1">
                  <c:v>7.11025211179124E-5</c:v>
                </c:pt>
                <c:pt idx="2">
                  <c:v>4.39328341082425E-5</c:v>
                </c:pt>
                <c:pt idx="3">
                  <c:v>2.7145224704024E-5</c:v>
                </c:pt>
                <c:pt idx="4">
                  <c:v>1.67724946316715E-5</c:v>
                </c:pt>
                <c:pt idx="5">
                  <c:v>1.03633909549596E-5</c:v>
                </c:pt>
                <c:pt idx="6">
                  <c:v>6.40333322159373E-6</c:v>
                </c:pt>
                <c:pt idx="7">
                  <c:v>3.95649228388114E-6</c:v>
                </c:pt>
                <c:pt idx="8">
                  <c:v>2.44463791750604E-6</c:v>
                </c:pt>
                <c:pt idx="9">
                  <c:v>1.51049316400531E-6</c:v>
                </c:pt>
                <c:pt idx="10">
                  <c:v>0.00674422534650133</c:v>
                </c:pt>
                <c:pt idx="11">
                  <c:v>0.0176537068356583</c:v>
                </c:pt>
                <c:pt idx="12">
                  <c:v>0.0311377505836602</c:v>
                </c:pt>
                <c:pt idx="13">
                  <c:v>0.0462125651628594</c:v>
                </c:pt>
                <c:pt idx="14">
                  <c:v>0.0622702854102723</c:v>
                </c:pt>
                <c:pt idx="15">
                  <c:v>0.0789353235275256</c:v>
                </c:pt>
                <c:pt idx="16">
                  <c:v>0.0959756112816007</c:v>
                </c:pt>
                <c:pt idx="17">
                  <c:v>0.113247758325395</c:v>
                </c:pt>
                <c:pt idx="18">
                  <c:v>0.130663166614382</c:v>
                </c:pt>
                <c:pt idx="19">
                  <c:v>0.148167093178392</c:v>
                </c:pt>
                <c:pt idx="20">
                  <c:v>0.165725713424581</c:v>
                </c:pt>
                <c:pt idx="21">
                  <c:v>0.183318127809545</c:v>
                </c:pt>
                <c:pt idx="22">
                  <c:v>0.200931422920949</c:v>
                </c:pt>
                <c:pt idx="23">
                  <c:v>0.21855761981806</c:v>
                </c:pt>
                <c:pt idx="24">
                  <c:v>0.236191788472042</c:v>
                </c:pt>
                <c:pt idx="25">
                  <c:v>0.253830882716096</c:v>
                </c:pt>
                <c:pt idx="26">
                  <c:v>0.271473020384322</c:v>
                </c:pt>
                <c:pt idx="27">
                  <c:v>0.289117038523835</c:v>
                </c:pt>
                <c:pt idx="28">
                  <c:v>0.306762218569166</c:v>
                </c:pt>
                <c:pt idx="29">
                  <c:v>0.324408116533002</c:v>
                </c:pt>
                <c:pt idx="30">
                  <c:v>0.342054458084407</c:v>
                </c:pt>
                <c:pt idx="31">
                  <c:v>0.359701073719752</c:v>
                </c:pt>
                <c:pt idx="32">
                  <c:v>0.377347858706114</c:v>
                </c:pt>
                <c:pt idx="33">
                  <c:v>0.394994748331102</c:v>
                </c:pt>
                <c:pt idx="34">
                  <c:v>0.412641702610217</c:v>
                </c:pt>
                <c:pt idx="35">
                  <c:v>0.430288696837831</c:v>
                </c:pt>
                <c:pt idx="36">
                  <c:v>0.447935715748829</c:v>
                </c:pt>
                <c:pt idx="37">
                  <c:v>0.465582749911198</c:v>
                </c:pt>
                <c:pt idx="38">
                  <c:v>0.483229793497087</c:v>
                </c:pt>
                <c:pt idx="39">
                  <c:v>0.500876842905582</c:v>
                </c:pt>
                <c:pt idx="40">
                  <c:v>0.511780603868941</c:v>
                </c:pt>
                <c:pt idx="41">
                  <c:v>0.518517820974983</c:v>
                </c:pt>
                <c:pt idx="42">
                  <c:v>0.522680613472587</c:v>
                </c:pt>
                <c:pt idx="43">
                  <c:v>0.525252720190444</c:v>
                </c:pt>
                <c:pt idx="44">
                  <c:v>0.526841973791687</c:v>
                </c:pt>
                <c:pt idx="45">
                  <c:v>0.527823941993678</c:v>
                </c:pt>
                <c:pt idx="46">
                  <c:v>0.528430680621778</c:v>
                </c:pt>
                <c:pt idx="47">
                  <c:v>0.528805572356646</c:v>
                </c:pt>
                <c:pt idx="48">
                  <c:v>0.529037210505864</c:v>
                </c:pt>
                <c:pt idx="49">
                  <c:v>0.529180335112737</c:v>
                </c:pt>
                <c:pt idx="50">
                  <c:v>0.52926876896166</c:v>
                </c:pt>
                <c:pt idx="51">
                  <c:v>0.529323410478629</c:v>
                </c:pt>
                <c:pt idx="52">
                  <c:v>0.529357172385559</c:v>
                </c:pt>
                <c:pt idx="53">
                  <c:v>0.529378033196582</c:v>
                </c:pt>
                <c:pt idx="54">
                  <c:v>0.52939092267695</c:v>
                </c:pt>
                <c:pt idx="55">
                  <c:v>0.529398886830595</c:v>
                </c:pt>
                <c:pt idx="56">
                  <c:v>0.529403807722786</c:v>
                </c:pt>
                <c:pt idx="57">
                  <c:v>0.529406848244231</c:v>
                </c:pt>
                <c:pt idx="58">
                  <c:v>0.529408726921979</c:v>
                </c:pt>
                <c:pt idx="59">
                  <c:v>0.529409887719607</c:v>
                </c:pt>
                <c:pt idx="60">
                  <c:v>0.529410604953382</c:v>
                </c:pt>
                <c:pt idx="61">
                  <c:v>0.529411048117871</c:v>
                </c:pt>
                <c:pt idx="62">
                  <c:v>0.529411321940398</c:v>
                </c:pt>
                <c:pt idx="63">
                  <c:v>0.529411491129893</c:v>
                </c:pt>
                <c:pt idx="64">
                  <c:v>0.529411595668718</c:v>
                </c:pt>
                <c:pt idx="65">
                  <c:v>0.529411660261179</c:v>
                </c:pt>
                <c:pt idx="66">
                  <c:v>0.529411700171577</c:v>
                </c:pt>
                <c:pt idx="67">
                  <c:v>0.529411724831418</c:v>
                </c:pt>
                <c:pt idx="68">
                  <c:v>0.529411740068244</c:v>
                </c:pt>
                <c:pt idx="69">
                  <c:v>0.529411749482775</c:v>
                </c:pt>
                <c:pt idx="70">
                  <c:v>0.529411755299827</c:v>
                </c:pt>
                <c:pt idx="71">
                  <c:v>0.259680077181768</c:v>
                </c:pt>
                <c:pt idx="72">
                  <c:v>0.0930182361926839</c:v>
                </c:pt>
                <c:pt idx="73">
                  <c:v>-0.00995880171279077</c:v>
                </c:pt>
                <c:pt idx="74">
                  <c:v>-0.0735862660012726</c:v>
                </c:pt>
                <c:pt idx="75">
                  <c:v>-0.112900411116791</c:v>
                </c:pt>
                <c:pt idx="76">
                  <c:v>-0.137191839723098</c:v>
                </c:pt>
                <c:pt idx="77">
                  <c:v>-0.152201030486409</c:v>
                </c:pt>
                <c:pt idx="78">
                  <c:v>-0.161474911039938</c:v>
                </c:pt>
                <c:pt idx="79">
                  <c:v>-0.167205057446722</c:v>
                </c:pt>
                <c:pt idx="80">
                  <c:v>-0.170745600982264</c:v>
                </c:pt>
                <c:pt idx="81">
                  <c:v>-0.172933232438281</c:v>
                </c:pt>
                <c:pt idx="82">
                  <c:v>-0.174284926419533</c:v>
                </c:pt>
                <c:pt idx="83">
                  <c:v>-0.175120111255595</c:v>
                </c:pt>
                <c:pt idx="84">
                  <c:v>-0.175636155360296</c:v>
                </c:pt>
                <c:pt idx="85">
                  <c:v>-0.175955008752383</c:v>
                </c:pt>
                <c:pt idx="86">
                  <c:v>-0.176152021923774</c:v>
                </c:pt>
                <c:pt idx="87">
                  <c:v>-0.176273752445277</c:v>
                </c:pt>
                <c:pt idx="88">
                  <c:v>-0.176348967314215</c:v>
                </c:pt>
                <c:pt idx="89">
                  <c:v>-0.176395441086278</c:v>
                </c:pt>
                <c:pt idx="90">
                  <c:v>-0.176424156306025</c:v>
                </c:pt>
                <c:pt idx="91">
                  <c:v>-0.176441898869378</c:v>
                </c:pt>
                <c:pt idx="92">
                  <c:v>-0.176452861646509</c:v>
                </c:pt>
                <c:pt idx="93">
                  <c:v>-0.176459635328531</c:v>
                </c:pt>
                <c:pt idx="94">
                  <c:v>-0.176463820651976</c:v>
                </c:pt>
                <c:pt idx="95">
                  <c:v>-0.176466406680118</c:v>
                </c:pt>
                <c:pt idx="96">
                  <c:v>-0.17646800453549</c:v>
                </c:pt>
                <c:pt idx="97">
                  <c:v>-0.176468991818555</c:v>
                </c:pt>
                <c:pt idx="98">
                  <c:v>-0.176469601841132</c:v>
                </c:pt>
                <c:pt idx="99">
                  <c:v>-0.176469978761953</c:v>
                </c:pt>
              </c:numCache>
            </c:numRef>
          </c:val>
          <c:smooth val="0"/>
        </c:ser>
        <c:ser>
          <c:idx val="15"/>
          <c:order val="1"/>
          <c:tx>
            <c:strRef>
              <c:f>Regelung_2!$P$12:$P$13</c:f>
              <c:strCache>
                <c:ptCount val="1"/>
                <c:pt idx="0">
                  <c:v>Sum (e(k))</c:v>
                </c:pt>
              </c:strCache>
            </c:strRef>
          </c:tx>
          <c:val>
            <c:numRef>
              <c:f>Regelung_2!$P$14:$P$113</c:f>
              <c:numCache>
                <c:formatCode>0.00</c:formatCode>
                <c:ptCount val="100"/>
                <c:pt idx="0">
                  <c:v>0.000115074945924941</c:v>
                </c:pt>
                <c:pt idx="1">
                  <c:v>0.000186177467042853</c:v>
                </c:pt>
                <c:pt idx="2">
                  <c:v>0.000230110301151096</c:v>
                </c:pt>
                <c:pt idx="3">
                  <c:v>0.000257255525855119</c:v>
                </c:pt>
                <c:pt idx="4">
                  <c:v>0.000274028020486791</c:v>
                </c:pt>
                <c:pt idx="5">
                  <c:v>0.000284391411441751</c:v>
                </c:pt>
                <c:pt idx="6">
                  <c:v>0.000290794744663344</c:v>
                </c:pt>
                <c:pt idx="7">
                  <c:v>0.000294751236947225</c:v>
                </c:pt>
                <c:pt idx="8">
                  <c:v>0.000297195874864731</c:v>
                </c:pt>
                <c:pt idx="9">
                  <c:v>0.000298706368028737</c:v>
                </c:pt>
                <c:pt idx="10">
                  <c:v>0.00704293171453006</c:v>
                </c:pt>
                <c:pt idx="11">
                  <c:v>0.0246966385501884</c:v>
                </c:pt>
                <c:pt idx="12">
                  <c:v>0.0558343891338486</c:v>
                </c:pt>
                <c:pt idx="13">
                  <c:v>0.102046954296708</c:v>
                </c:pt>
                <c:pt idx="14">
                  <c:v>0.16431723970698</c:v>
                </c:pt>
                <c:pt idx="15">
                  <c:v>0.243252563234506</c:v>
                </c:pt>
                <c:pt idx="16">
                  <c:v>0.339228174516107</c:v>
                </c:pt>
                <c:pt idx="17">
                  <c:v>0.452475932841502</c:v>
                </c:pt>
                <c:pt idx="18">
                  <c:v>0.583139099455884</c:v>
                </c:pt>
                <c:pt idx="19">
                  <c:v>0.731306192634276</c:v>
                </c:pt>
                <c:pt idx="20">
                  <c:v>0.897031906058857</c:v>
                </c:pt>
                <c:pt idx="21">
                  <c:v>1.080350033868402</c:v>
                </c:pt>
                <c:pt idx="22">
                  <c:v>1.281281456789351</c:v>
                </c:pt>
                <c:pt idx="23">
                  <c:v>1.499839076607411</c:v>
                </c:pt>
                <c:pt idx="24">
                  <c:v>1.736030865079453</c:v>
                </c:pt>
                <c:pt idx="25">
                  <c:v>1.989861747795549</c:v>
                </c:pt>
                <c:pt idx="26">
                  <c:v>2.261334768179871</c:v>
                </c:pt>
                <c:pt idx="27">
                  <c:v>2.550451806703707</c:v>
                </c:pt>
                <c:pt idx="28">
                  <c:v>2.857214025272873</c:v>
                </c:pt>
                <c:pt idx="29">
                  <c:v>3.181622141805874</c:v>
                </c:pt>
                <c:pt idx="30">
                  <c:v>3.523676599890281</c:v>
                </c:pt>
                <c:pt idx="31">
                  <c:v>3.883377673610033</c:v>
                </c:pt>
                <c:pt idx="32">
                  <c:v>4.260725532316147</c:v>
                </c:pt>
                <c:pt idx="33">
                  <c:v>4.655720280647248</c:v>
                </c:pt>
                <c:pt idx="34">
                  <c:v>5.068361983257465</c:v>
                </c:pt>
                <c:pt idx="35">
                  <c:v>5.498650680095296</c:v>
                </c:pt>
                <c:pt idx="36">
                  <c:v>5.946586395844125</c:v>
                </c:pt>
                <c:pt idx="37">
                  <c:v>6.412169145755323</c:v>
                </c:pt>
                <c:pt idx="38">
                  <c:v>6.895398939252411</c:v>
                </c:pt>
                <c:pt idx="39">
                  <c:v>7.396275782157993</c:v>
                </c:pt>
                <c:pt idx="40">
                  <c:v>7.908056386026933</c:v>
                </c:pt>
                <c:pt idx="41">
                  <c:v>8.426574207001916</c:v>
                </c:pt>
                <c:pt idx="42">
                  <c:v>8.949254820474504</c:v>
                </c:pt>
                <c:pt idx="43">
                  <c:v>9.474507540664948</c:v>
                </c:pt>
                <c:pt idx="44">
                  <c:v>10.00134951445663</c:v>
                </c:pt>
                <c:pt idx="45">
                  <c:v>10.52917345645031</c:v>
                </c:pt>
                <c:pt idx="46">
                  <c:v>11.0576041370721</c:v>
                </c:pt>
                <c:pt idx="47">
                  <c:v>11.58640970942874</c:v>
                </c:pt>
                <c:pt idx="48">
                  <c:v>12.1154469199346</c:v>
                </c:pt>
                <c:pt idx="49">
                  <c:v>12.64462725504734</c:v>
                </c:pt>
                <c:pt idx="50">
                  <c:v>13.17389602400899</c:v>
                </c:pt>
                <c:pt idx="51">
                  <c:v>13.70321943448762</c:v>
                </c:pt>
                <c:pt idx="52">
                  <c:v>14.23257660687318</c:v>
                </c:pt>
                <c:pt idx="53">
                  <c:v>14.76195464006977</c:v>
                </c:pt>
                <c:pt idx="54">
                  <c:v>15.29134556274672</c:v>
                </c:pt>
                <c:pt idx="55">
                  <c:v>15.82074444957731</c:v>
                </c:pt>
                <c:pt idx="56">
                  <c:v>16.3501482573001</c:v>
                </c:pt>
                <c:pt idx="57">
                  <c:v>16.87955510554433</c:v>
                </c:pt>
                <c:pt idx="58">
                  <c:v>17.40896383246631</c:v>
                </c:pt>
                <c:pt idx="59">
                  <c:v>17.93837372018591</c:v>
                </c:pt>
                <c:pt idx="60">
                  <c:v>18.4677843251393</c:v>
                </c:pt>
                <c:pt idx="61">
                  <c:v>18.99719537325717</c:v>
                </c:pt>
                <c:pt idx="62">
                  <c:v>19.52660669519757</c:v>
                </c:pt>
                <c:pt idx="63">
                  <c:v>20.05601818632746</c:v>
                </c:pt>
                <c:pt idx="64">
                  <c:v>20.58542978199618</c:v>
                </c:pt>
                <c:pt idx="65">
                  <c:v>21.11484144225736</c:v>
                </c:pt>
                <c:pt idx="66">
                  <c:v>21.64425314242893</c:v>
                </c:pt>
                <c:pt idx="67">
                  <c:v>22.17366486726035</c:v>
                </c:pt>
                <c:pt idx="68">
                  <c:v>22.7030766073286</c:v>
                </c:pt>
                <c:pt idx="69">
                  <c:v>23.23248835681137</c:v>
                </c:pt>
                <c:pt idx="70">
                  <c:v>23.7619001121112</c:v>
                </c:pt>
                <c:pt idx="71">
                  <c:v>24.02158018929297</c:v>
                </c:pt>
                <c:pt idx="72">
                  <c:v>24.11459842548565</c:v>
                </c:pt>
                <c:pt idx="73">
                  <c:v>24.10463962377286</c:v>
                </c:pt>
                <c:pt idx="74">
                  <c:v>24.0310533577716</c:v>
                </c:pt>
                <c:pt idx="75">
                  <c:v>23.9181529466548</c:v>
                </c:pt>
                <c:pt idx="76">
                  <c:v>23.7809611069317</c:v>
                </c:pt>
                <c:pt idx="77">
                  <c:v>23.62876007644529</c:v>
                </c:pt>
                <c:pt idx="78">
                  <c:v>23.46728516540535</c:v>
                </c:pt>
                <c:pt idx="79">
                  <c:v>23.30008010795863</c:v>
                </c:pt>
                <c:pt idx="80">
                  <c:v>23.12933450697637</c:v>
                </c:pt>
                <c:pt idx="81">
                  <c:v>22.95640127453808</c:v>
                </c:pt>
                <c:pt idx="82">
                  <c:v>22.78211634811855</c:v>
                </c:pt>
                <c:pt idx="83">
                  <c:v>22.60699623686295</c:v>
                </c:pt>
                <c:pt idx="84">
                  <c:v>22.43136008150266</c:v>
                </c:pt>
                <c:pt idx="85">
                  <c:v>22.25540507275028</c:v>
                </c:pt>
                <c:pt idx="86">
                  <c:v>22.07925305082651</c:v>
                </c:pt>
                <c:pt idx="87">
                  <c:v>21.90297929838123</c:v>
                </c:pt>
                <c:pt idx="88">
                  <c:v>21.72663033106701</c:v>
                </c:pt>
                <c:pt idx="89">
                  <c:v>21.55023488998074</c:v>
                </c:pt>
                <c:pt idx="90">
                  <c:v>21.37381073367471</c:v>
                </c:pt>
                <c:pt idx="91">
                  <c:v>21.19736883480533</c:v>
                </c:pt>
                <c:pt idx="92">
                  <c:v>21.02091597315882</c:v>
                </c:pt>
                <c:pt idx="93">
                  <c:v>20.84445633783029</c:v>
                </c:pt>
                <c:pt idx="94">
                  <c:v>20.66799251717832</c:v>
                </c:pt>
                <c:pt idx="95">
                  <c:v>20.4915261104982</c:v>
                </c:pt>
                <c:pt idx="96">
                  <c:v>20.31505810596271</c:v>
                </c:pt>
                <c:pt idx="97">
                  <c:v>20.13858911414415</c:v>
                </c:pt>
                <c:pt idx="98">
                  <c:v>19.96211951230302</c:v>
                </c:pt>
                <c:pt idx="99">
                  <c:v>19.78564953354107</c:v>
                </c:pt>
              </c:numCache>
            </c:numRef>
          </c:val>
          <c:smooth val="0"/>
        </c:ser>
        <c:ser>
          <c:idx val="16"/>
          <c:order val="2"/>
          <c:tx>
            <c:strRef>
              <c:f>Regelung_2!$Q$12:$Q$13</c:f>
              <c:strCache>
                <c:ptCount val="1"/>
                <c:pt idx="0">
                  <c:v>Trend e'(k)= e(k)-e(k-1)</c:v>
                </c:pt>
              </c:strCache>
            </c:strRef>
          </c:tx>
          <c:val>
            <c:numRef>
              <c:f>Regelung_2!$Q$14:$Q$113</c:f>
              <c:numCache>
                <c:formatCode>0.00</c:formatCode>
                <c:ptCount val="100"/>
                <c:pt idx="0">
                  <c:v>0.000115074945924941</c:v>
                </c:pt>
                <c:pt idx="1">
                  <c:v>-4.39724248070282E-5</c:v>
                </c:pt>
                <c:pt idx="2">
                  <c:v>-2.716968700967E-5</c:v>
                </c:pt>
                <c:pt idx="3">
                  <c:v>-1.67876094042185E-5</c:v>
                </c:pt>
                <c:pt idx="4">
                  <c:v>-1.03727300723525E-5</c:v>
                </c:pt>
                <c:pt idx="5">
                  <c:v>-6.40910367671192E-6</c:v>
                </c:pt>
                <c:pt idx="6">
                  <c:v>-3.96005773336583E-6</c:v>
                </c:pt>
                <c:pt idx="7">
                  <c:v>-2.4468409377126E-6</c:v>
                </c:pt>
                <c:pt idx="8">
                  <c:v>-1.51185436637509E-6</c:v>
                </c:pt>
                <c:pt idx="9">
                  <c:v>-9.34144753500732E-7</c:v>
                </c:pt>
                <c:pt idx="10">
                  <c:v>0.00674271485333732</c:v>
                </c:pt>
                <c:pt idx="11">
                  <c:v>0.010909481489157</c:v>
                </c:pt>
                <c:pt idx="12">
                  <c:v>0.0134840437480019</c:v>
                </c:pt>
                <c:pt idx="13">
                  <c:v>0.0150748145791992</c:v>
                </c:pt>
                <c:pt idx="14">
                  <c:v>0.016057720247413</c:v>
                </c:pt>
                <c:pt idx="15">
                  <c:v>0.0166650381172532</c:v>
                </c:pt>
                <c:pt idx="16">
                  <c:v>0.0170402877540752</c:v>
                </c:pt>
                <c:pt idx="17">
                  <c:v>0.0172721470437943</c:v>
                </c:pt>
                <c:pt idx="18">
                  <c:v>0.0174154082889869</c:v>
                </c:pt>
                <c:pt idx="19">
                  <c:v>0.0175039265640099</c:v>
                </c:pt>
                <c:pt idx="20">
                  <c:v>0.017558620246189</c:v>
                </c:pt>
                <c:pt idx="21">
                  <c:v>0.0175924143849643</c:v>
                </c:pt>
                <c:pt idx="22">
                  <c:v>0.0176132951114038</c:v>
                </c:pt>
                <c:pt idx="23">
                  <c:v>0.0176261968971115</c:v>
                </c:pt>
                <c:pt idx="24">
                  <c:v>0.0176341686539817</c:v>
                </c:pt>
                <c:pt idx="25">
                  <c:v>0.0176390942440537</c:v>
                </c:pt>
                <c:pt idx="26">
                  <c:v>0.0176421376682265</c:v>
                </c:pt>
                <c:pt idx="27">
                  <c:v>0.0176440181395123</c:v>
                </c:pt>
                <c:pt idx="28">
                  <c:v>0.0176451800453313</c:v>
                </c:pt>
                <c:pt idx="29">
                  <c:v>0.0176458979638355</c:v>
                </c:pt>
                <c:pt idx="30">
                  <c:v>0.0176463415514052</c:v>
                </c:pt>
                <c:pt idx="31">
                  <c:v>0.017646615635345</c:v>
                </c:pt>
                <c:pt idx="32">
                  <c:v>0.0176467849863618</c:v>
                </c:pt>
                <c:pt idx="33">
                  <c:v>0.0176468896249881</c:v>
                </c:pt>
                <c:pt idx="34">
                  <c:v>0.0176469542791148</c:v>
                </c:pt>
                <c:pt idx="35">
                  <c:v>0.0176469942276145</c:v>
                </c:pt>
                <c:pt idx="36">
                  <c:v>0.0176470189109978</c:v>
                </c:pt>
                <c:pt idx="37">
                  <c:v>0.0176470341623696</c:v>
                </c:pt>
                <c:pt idx="38">
                  <c:v>0.0176470435858891</c:v>
                </c:pt>
                <c:pt idx="39">
                  <c:v>0.0176470494084944</c:v>
                </c:pt>
                <c:pt idx="40">
                  <c:v>0.0109037609633591</c:v>
                </c:pt>
                <c:pt idx="41">
                  <c:v>0.00673721710604169</c:v>
                </c:pt>
                <c:pt idx="42">
                  <c:v>0.00416279249760432</c:v>
                </c:pt>
                <c:pt idx="43">
                  <c:v>0.00257210671785679</c:v>
                </c:pt>
                <c:pt idx="44">
                  <c:v>0.00158925360124296</c:v>
                </c:pt>
                <c:pt idx="45">
                  <c:v>0.000981968201991256</c:v>
                </c:pt>
                <c:pt idx="46">
                  <c:v>0.000606738628100456</c:v>
                </c:pt>
                <c:pt idx="47">
                  <c:v>0.00037489173486771</c:v>
                </c:pt>
                <c:pt idx="48">
                  <c:v>0.00023163814921745</c:v>
                </c:pt>
                <c:pt idx="49">
                  <c:v>0.000143124606873268</c:v>
                </c:pt>
                <c:pt idx="50">
                  <c:v>8.84338489226533E-5</c:v>
                </c:pt>
                <c:pt idx="51">
                  <c:v>5.46415169698777E-5</c:v>
                </c:pt>
                <c:pt idx="52">
                  <c:v>3.3761906929608E-5</c:v>
                </c:pt>
                <c:pt idx="53">
                  <c:v>2.0860811023482E-5</c:v>
                </c:pt>
                <c:pt idx="54">
                  <c:v>1.2889480367817E-5</c:v>
                </c:pt>
                <c:pt idx="55">
                  <c:v>7.96415364501257E-6</c:v>
                </c:pt>
                <c:pt idx="56">
                  <c:v>4.92089219061853E-6</c:v>
                </c:pt>
                <c:pt idx="57">
                  <c:v>3.04052144517453E-6</c:v>
                </c:pt>
                <c:pt idx="58">
                  <c:v>1.87867774825712E-6</c:v>
                </c:pt>
                <c:pt idx="59">
                  <c:v>1.16079762779719E-6</c:v>
                </c:pt>
                <c:pt idx="60">
                  <c:v>7.1723377481625E-7</c:v>
                </c:pt>
                <c:pt idx="61">
                  <c:v>4.43164489105641E-7</c:v>
                </c:pt>
                <c:pt idx="62">
                  <c:v>2.73822526652978E-7</c:v>
                </c:pt>
                <c:pt idx="63">
                  <c:v>1.69189494858557E-7</c:v>
                </c:pt>
                <c:pt idx="64">
                  <c:v>1.04538825040912E-7</c:v>
                </c:pt>
                <c:pt idx="65">
                  <c:v>6.45924616016202E-8</c:v>
                </c:pt>
                <c:pt idx="66">
                  <c:v>3.99103976533865E-8</c:v>
                </c:pt>
                <c:pt idx="67">
                  <c:v>2.46598412800836E-8</c:v>
                </c:pt>
                <c:pt idx="68">
                  <c:v>1.52368255790236E-8</c:v>
                </c:pt>
                <c:pt idx="69">
                  <c:v>9.41453159875038E-9</c:v>
                </c:pt>
                <c:pt idx="70">
                  <c:v>5.81705195124016E-9</c:v>
                </c:pt>
                <c:pt idx="71">
                  <c:v>-0.269731678118059</c:v>
                </c:pt>
                <c:pt idx="72">
                  <c:v>-0.166661840989084</c:v>
                </c:pt>
                <c:pt idx="73">
                  <c:v>-0.102977037905475</c:v>
                </c:pt>
                <c:pt idx="74">
                  <c:v>-0.0636274642884818</c:v>
                </c:pt>
                <c:pt idx="75">
                  <c:v>-0.0393141451155181</c:v>
                </c:pt>
                <c:pt idx="76">
                  <c:v>-0.0242914286063072</c:v>
                </c:pt>
                <c:pt idx="77">
                  <c:v>-0.0150091907633114</c:v>
                </c:pt>
                <c:pt idx="78">
                  <c:v>-0.00927388055352895</c:v>
                </c:pt>
                <c:pt idx="79">
                  <c:v>-0.00573014640678396</c:v>
                </c:pt>
                <c:pt idx="80">
                  <c:v>-0.00354054353554134</c:v>
                </c:pt>
                <c:pt idx="81">
                  <c:v>-0.00218763145601708</c:v>
                </c:pt>
                <c:pt idx="82">
                  <c:v>-0.00135169398125284</c:v>
                </c:pt>
                <c:pt idx="83">
                  <c:v>-0.00083518483606107</c:v>
                </c:pt>
                <c:pt idx="84">
                  <c:v>-0.000516044104701435</c:v>
                </c:pt>
                <c:pt idx="85">
                  <c:v>-0.000318853392086565</c:v>
                </c:pt>
                <c:pt idx="86">
                  <c:v>-0.00019701317139123</c:v>
                </c:pt>
                <c:pt idx="87">
                  <c:v>-0.000121730521502883</c:v>
                </c:pt>
                <c:pt idx="88">
                  <c:v>-7.52148689386334E-5</c:v>
                </c:pt>
                <c:pt idx="89">
                  <c:v>-4.64737720630992E-5</c:v>
                </c:pt>
                <c:pt idx="90">
                  <c:v>-2.87152197465945E-5</c:v>
                </c:pt>
                <c:pt idx="91">
                  <c:v>-1.77425633531292E-5</c:v>
                </c:pt>
                <c:pt idx="92">
                  <c:v>-1.09627771306131E-5</c:v>
                </c:pt>
                <c:pt idx="93">
                  <c:v>-6.77368202256501E-6</c:v>
                </c:pt>
                <c:pt idx="94">
                  <c:v>-4.18532344445555E-6</c:v>
                </c:pt>
                <c:pt idx="95">
                  <c:v>-2.58602814179332E-6</c:v>
                </c:pt>
                <c:pt idx="96">
                  <c:v>-1.59785537259816E-6</c:v>
                </c:pt>
                <c:pt idx="97">
                  <c:v>-9.87283065245759E-7</c:v>
                </c:pt>
                <c:pt idx="98">
                  <c:v>-6.10022576591484E-7</c:v>
                </c:pt>
                <c:pt idx="99">
                  <c:v>-3.76920821359983E-7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637288"/>
        <c:axId val="2084634296"/>
      </c:lineChart>
      <c:catAx>
        <c:axId val="208463728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634296"/>
        <c:crosses val="autoZero"/>
        <c:auto val="1"/>
        <c:lblAlgn val="ctr"/>
        <c:lblOffset val="100"/>
        <c:noMultiLvlLbl val="0"/>
      </c:catAx>
      <c:valAx>
        <c:axId val="20846342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463728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Regelung_2!$D$12:$D$13</c:f>
              <c:strCache>
                <c:ptCount val="1"/>
                <c:pt idx="0">
                  <c:v>e(k) 0</c:v>
                </c:pt>
              </c:strCache>
            </c:strRef>
          </c:tx>
          <c:val>
            <c:numRef>
              <c:f>Regelung_2!$D$14:$D$113</c:f>
              <c:numCache>
                <c:formatCode>0.00</c:formatCode>
                <c:ptCount val="100"/>
                <c:pt idx="0">
                  <c:v>0.000115074945924941</c:v>
                </c:pt>
                <c:pt idx="1">
                  <c:v>7.11025211179124E-5</c:v>
                </c:pt>
                <c:pt idx="2">
                  <c:v>4.39328341082425E-5</c:v>
                </c:pt>
                <c:pt idx="3">
                  <c:v>2.7145224704024E-5</c:v>
                </c:pt>
                <c:pt idx="4">
                  <c:v>1.67724946316715E-5</c:v>
                </c:pt>
                <c:pt idx="5">
                  <c:v>1.03633909549596E-5</c:v>
                </c:pt>
                <c:pt idx="6">
                  <c:v>6.40333322159373E-6</c:v>
                </c:pt>
                <c:pt idx="7">
                  <c:v>3.95649228388114E-6</c:v>
                </c:pt>
                <c:pt idx="8">
                  <c:v>2.44463791750604E-6</c:v>
                </c:pt>
                <c:pt idx="9">
                  <c:v>1.51049316400531E-6</c:v>
                </c:pt>
                <c:pt idx="10">
                  <c:v>0.00674422534650133</c:v>
                </c:pt>
                <c:pt idx="11">
                  <c:v>0.0176537068356583</c:v>
                </c:pt>
                <c:pt idx="12">
                  <c:v>0.0311377505836602</c:v>
                </c:pt>
                <c:pt idx="13">
                  <c:v>0.0462125651628594</c:v>
                </c:pt>
                <c:pt idx="14">
                  <c:v>0.0622702854102723</c:v>
                </c:pt>
                <c:pt idx="15">
                  <c:v>0.0789353235275256</c:v>
                </c:pt>
                <c:pt idx="16">
                  <c:v>0.0959756112816007</c:v>
                </c:pt>
                <c:pt idx="17">
                  <c:v>0.113247758325395</c:v>
                </c:pt>
                <c:pt idx="18">
                  <c:v>0.130663166614382</c:v>
                </c:pt>
                <c:pt idx="19">
                  <c:v>0.148167093178392</c:v>
                </c:pt>
                <c:pt idx="20">
                  <c:v>0.165725713424581</c:v>
                </c:pt>
                <c:pt idx="21">
                  <c:v>0.183318127809545</c:v>
                </c:pt>
                <c:pt idx="22">
                  <c:v>0.200931422920949</c:v>
                </c:pt>
                <c:pt idx="23">
                  <c:v>0.21855761981806</c:v>
                </c:pt>
                <c:pt idx="24">
                  <c:v>0.236191788472042</c:v>
                </c:pt>
                <c:pt idx="25">
                  <c:v>0.253830882716096</c:v>
                </c:pt>
                <c:pt idx="26">
                  <c:v>0.271473020384322</c:v>
                </c:pt>
                <c:pt idx="27">
                  <c:v>0.289117038523835</c:v>
                </c:pt>
                <c:pt idx="28">
                  <c:v>0.306762218569166</c:v>
                </c:pt>
                <c:pt idx="29">
                  <c:v>0.324408116533002</c:v>
                </c:pt>
                <c:pt idx="30">
                  <c:v>0.342054458084407</c:v>
                </c:pt>
                <c:pt idx="31">
                  <c:v>0.359701073719752</c:v>
                </c:pt>
                <c:pt idx="32">
                  <c:v>0.377347858706114</c:v>
                </c:pt>
                <c:pt idx="33">
                  <c:v>0.394994748331102</c:v>
                </c:pt>
                <c:pt idx="34">
                  <c:v>0.412641702610217</c:v>
                </c:pt>
                <c:pt idx="35">
                  <c:v>0.430288696837831</c:v>
                </c:pt>
                <c:pt idx="36">
                  <c:v>0.447935715748829</c:v>
                </c:pt>
                <c:pt idx="37">
                  <c:v>0.465582749911198</c:v>
                </c:pt>
                <c:pt idx="38">
                  <c:v>0.483229793497087</c:v>
                </c:pt>
                <c:pt idx="39">
                  <c:v>0.500876842905582</c:v>
                </c:pt>
                <c:pt idx="40">
                  <c:v>0.511780603868941</c:v>
                </c:pt>
                <c:pt idx="41">
                  <c:v>0.518517820974983</c:v>
                </c:pt>
                <c:pt idx="42">
                  <c:v>0.522680613472587</c:v>
                </c:pt>
                <c:pt idx="43">
                  <c:v>0.525252720190444</c:v>
                </c:pt>
                <c:pt idx="44">
                  <c:v>0.526841973791687</c:v>
                </c:pt>
                <c:pt idx="45">
                  <c:v>0.527823941993678</c:v>
                </c:pt>
                <c:pt idx="46">
                  <c:v>0.528430680621778</c:v>
                </c:pt>
                <c:pt idx="47">
                  <c:v>0.528805572356646</c:v>
                </c:pt>
                <c:pt idx="48">
                  <c:v>0.529037210505864</c:v>
                </c:pt>
                <c:pt idx="49">
                  <c:v>0.529180335112737</c:v>
                </c:pt>
                <c:pt idx="50">
                  <c:v>0.52926876896166</c:v>
                </c:pt>
                <c:pt idx="51">
                  <c:v>0.529323410478629</c:v>
                </c:pt>
                <c:pt idx="52">
                  <c:v>0.529357172385559</c:v>
                </c:pt>
                <c:pt idx="53">
                  <c:v>0.529378033196582</c:v>
                </c:pt>
                <c:pt idx="54">
                  <c:v>0.52939092267695</c:v>
                </c:pt>
                <c:pt idx="55">
                  <c:v>0.529398886830595</c:v>
                </c:pt>
                <c:pt idx="56">
                  <c:v>0.529403807722786</c:v>
                </c:pt>
                <c:pt idx="57">
                  <c:v>0.529406848244231</c:v>
                </c:pt>
                <c:pt idx="58">
                  <c:v>0.529408726921979</c:v>
                </c:pt>
                <c:pt idx="59">
                  <c:v>0.529409887719607</c:v>
                </c:pt>
                <c:pt idx="60">
                  <c:v>0.529410604953382</c:v>
                </c:pt>
                <c:pt idx="61">
                  <c:v>0.529411048117871</c:v>
                </c:pt>
                <c:pt idx="62">
                  <c:v>0.529411321940398</c:v>
                </c:pt>
                <c:pt idx="63">
                  <c:v>0.529411491129893</c:v>
                </c:pt>
                <c:pt idx="64">
                  <c:v>0.529411595668718</c:v>
                </c:pt>
                <c:pt idx="65">
                  <c:v>0.529411660261179</c:v>
                </c:pt>
                <c:pt idx="66">
                  <c:v>0.529411700171577</c:v>
                </c:pt>
                <c:pt idx="67">
                  <c:v>0.529411724831418</c:v>
                </c:pt>
                <c:pt idx="68">
                  <c:v>0.529411740068244</c:v>
                </c:pt>
                <c:pt idx="69">
                  <c:v>0.529411749482775</c:v>
                </c:pt>
                <c:pt idx="70">
                  <c:v>0.529411755299827</c:v>
                </c:pt>
                <c:pt idx="71">
                  <c:v>0.259680077181768</c:v>
                </c:pt>
                <c:pt idx="72">
                  <c:v>0.0930182361926839</c:v>
                </c:pt>
                <c:pt idx="73">
                  <c:v>-0.00995880171279077</c:v>
                </c:pt>
                <c:pt idx="74">
                  <c:v>-0.0735862660012726</c:v>
                </c:pt>
                <c:pt idx="75">
                  <c:v>-0.112900411116791</c:v>
                </c:pt>
                <c:pt idx="76">
                  <c:v>-0.137191839723098</c:v>
                </c:pt>
                <c:pt idx="77">
                  <c:v>-0.152201030486409</c:v>
                </c:pt>
                <c:pt idx="78">
                  <c:v>-0.161474911039938</c:v>
                </c:pt>
                <c:pt idx="79">
                  <c:v>-0.167205057446722</c:v>
                </c:pt>
                <c:pt idx="80">
                  <c:v>-0.170745600982264</c:v>
                </c:pt>
                <c:pt idx="81">
                  <c:v>-0.172933232438281</c:v>
                </c:pt>
                <c:pt idx="82">
                  <c:v>-0.174284926419533</c:v>
                </c:pt>
                <c:pt idx="83">
                  <c:v>-0.175120111255595</c:v>
                </c:pt>
                <c:pt idx="84">
                  <c:v>-0.175636155360296</c:v>
                </c:pt>
                <c:pt idx="85">
                  <c:v>-0.175955008752383</c:v>
                </c:pt>
                <c:pt idx="86">
                  <c:v>-0.176152021923774</c:v>
                </c:pt>
                <c:pt idx="87">
                  <c:v>-0.176273752445277</c:v>
                </c:pt>
                <c:pt idx="88">
                  <c:v>-0.176348967314215</c:v>
                </c:pt>
                <c:pt idx="89">
                  <c:v>-0.176395441086278</c:v>
                </c:pt>
                <c:pt idx="90">
                  <c:v>-0.176424156306025</c:v>
                </c:pt>
                <c:pt idx="91">
                  <c:v>-0.176441898869378</c:v>
                </c:pt>
                <c:pt idx="92">
                  <c:v>-0.176452861646509</c:v>
                </c:pt>
                <c:pt idx="93">
                  <c:v>-0.176459635328531</c:v>
                </c:pt>
                <c:pt idx="94">
                  <c:v>-0.176463820651976</c:v>
                </c:pt>
                <c:pt idx="95">
                  <c:v>-0.176466406680118</c:v>
                </c:pt>
                <c:pt idx="96">
                  <c:v>-0.17646800453549</c:v>
                </c:pt>
                <c:pt idx="97">
                  <c:v>-0.176468991818555</c:v>
                </c:pt>
                <c:pt idx="98">
                  <c:v>-0.176469601841132</c:v>
                </c:pt>
                <c:pt idx="99">
                  <c:v>-0.176469978761953</c:v>
                </c:pt>
              </c:numCache>
            </c:numRef>
          </c:val>
          <c:smooth val="0"/>
        </c:ser>
        <c:ser>
          <c:idx val="16"/>
          <c:order val="1"/>
          <c:tx>
            <c:strRef>
              <c:f>Regelung_2!$Q$12:$Q$13</c:f>
              <c:strCache>
                <c:ptCount val="1"/>
                <c:pt idx="0">
                  <c:v>Trend e'(k)= e(k)-e(k-1)</c:v>
                </c:pt>
              </c:strCache>
            </c:strRef>
          </c:tx>
          <c:val>
            <c:numRef>
              <c:f>Regelung_2!$Q$14:$Q$113</c:f>
              <c:numCache>
                <c:formatCode>0.00</c:formatCode>
                <c:ptCount val="100"/>
                <c:pt idx="0">
                  <c:v>0.000115074945924941</c:v>
                </c:pt>
                <c:pt idx="1">
                  <c:v>-4.39724248070282E-5</c:v>
                </c:pt>
                <c:pt idx="2">
                  <c:v>-2.716968700967E-5</c:v>
                </c:pt>
                <c:pt idx="3">
                  <c:v>-1.67876094042185E-5</c:v>
                </c:pt>
                <c:pt idx="4">
                  <c:v>-1.03727300723525E-5</c:v>
                </c:pt>
                <c:pt idx="5">
                  <c:v>-6.40910367671192E-6</c:v>
                </c:pt>
                <c:pt idx="6">
                  <c:v>-3.96005773336583E-6</c:v>
                </c:pt>
                <c:pt idx="7">
                  <c:v>-2.4468409377126E-6</c:v>
                </c:pt>
                <c:pt idx="8">
                  <c:v>-1.51185436637509E-6</c:v>
                </c:pt>
                <c:pt idx="9">
                  <c:v>-9.34144753500732E-7</c:v>
                </c:pt>
                <c:pt idx="10">
                  <c:v>0.00674271485333732</c:v>
                </c:pt>
                <c:pt idx="11">
                  <c:v>0.010909481489157</c:v>
                </c:pt>
                <c:pt idx="12">
                  <c:v>0.0134840437480019</c:v>
                </c:pt>
                <c:pt idx="13">
                  <c:v>0.0150748145791992</c:v>
                </c:pt>
                <c:pt idx="14">
                  <c:v>0.016057720247413</c:v>
                </c:pt>
                <c:pt idx="15">
                  <c:v>0.0166650381172532</c:v>
                </c:pt>
                <c:pt idx="16">
                  <c:v>0.0170402877540752</c:v>
                </c:pt>
                <c:pt idx="17">
                  <c:v>0.0172721470437943</c:v>
                </c:pt>
                <c:pt idx="18">
                  <c:v>0.0174154082889869</c:v>
                </c:pt>
                <c:pt idx="19">
                  <c:v>0.0175039265640099</c:v>
                </c:pt>
                <c:pt idx="20">
                  <c:v>0.017558620246189</c:v>
                </c:pt>
                <c:pt idx="21">
                  <c:v>0.0175924143849643</c:v>
                </c:pt>
                <c:pt idx="22">
                  <c:v>0.0176132951114038</c:v>
                </c:pt>
                <c:pt idx="23">
                  <c:v>0.0176261968971115</c:v>
                </c:pt>
                <c:pt idx="24">
                  <c:v>0.0176341686539817</c:v>
                </c:pt>
                <c:pt idx="25">
                  <c:v>0.0176390942440537</c:v>
                </c:pt>
                <c:pt idx="26">
                  <c:v>0.0176421376682265</c:v>
                </c:pt>
                <c:pt idx="27">
                  <c:v>0.0176440181395123</c:v>
                </c:pt>
                <c:pt idx="28">
                  <c:v>0.0176451800453313</c:v>
                </c:pt>
                <c:pt idx="29">
                  <c:v>0.0176458979638355</c:v>
                </c:pt>
                <c:pt idx="30">
                  <c:v>0.0176463415514052</c:v>
                </c:pt>
                <c:pt idx="31">
                  <c:v>0.017646615635345</c:v>
                </c:pt>
                <c:pt idx="32">
                  <c:v>0.0176467849863618</c:v>
                </c:pt>
                <c:pt idx="33">
                  <c:v>0.0176468896249881</c:v>
                </c:pt>
                <c:pt idx="34">
                  <c:v>0.0176469542791148</c:v>
                </c:pt>
                <c:pt idx="35">
                  <c:v>0.0176469942276145</c:v>
                </c:pt>
                <c:pt idx="36">
                  <c:v>0.0176470189109978</c:v>
                </c:pt>
                <c:pt idx="37">
                  <c:v>0.0176470341623696</c:v>
                </c:pt>
                <c:pt idx="38">
                  <c:v>0.0176470435858891</c:v>
                </c:pt>
                <c:pt idx="39">
                  <c:v>0.0176470494084944</c:v>
                </c:pt>
                <c:pt idx="40">
                  <c:v>0.0109037609633591</c:v>
                </c:pt>
                <c:pt idx="41">
                  <c:v>0.00673721710604169</c:v>
                </c:pt>
                <c:pt idx="42">
                  <c:v>0.00416279249760432</c:v>
                </c:pt>
                <c:pt idx="43">
                  <c:v>0.00257210671785679</c:v>
                </c:pt>
                <c:pt idx="44">
                  <c:v>0.00158925360124296</c:v>
                </c:pt>
                <c:pt idx="45">
                  <c:v>0.000981968201991256</c:v>
                </c:pt>
                <c:pt idx="46">
                  <c:v>0.000606738628100456</c:v>
                </c:pt>
                <c:pt idx="47">
                  <c:v>0.00037489173486771</c:v>
                </c:pt>
                <c:pt idx="48">
                  <c:v>0.00023163814921745</c:v>
                </c:pt>
                <c:pt idx="49">
                  <c:v>0.000143124606873268</c:v>
                </c:pt>
                <c:pt idx="50">
                  <c:v>8.84338489226533E-5</c:v>
                </c:pt>
                <c:pt idx="51">
                  <c:v>5.46415169698777E-5</c:v>
                </c:pt>
                <c:pt idx="52">
                  <c:v>3.3761906929608E-5</c:v>
                </c:pt>
                <c:pt idx="53">
                  <c:v>2.0860811023482E-5</c:v>
                </c:pt>
                <c:pt idx="54">
                  <c:v>1.2889480367817E-5</c:v>
                </c:pt>
                <c:pt idx="55">
                  <c:v>7.96415364501257E-6</c:v>
                </c:pt>
                <c:pt idx="56">
                  <c:v>4.92089219061853E-6</c:v>
                </c:pt>
                <c:pt idx="57">
                  <c:v>3.04052144517453E-6</c:v>
                </c:pt>
                <c:pt idx="58">
                  <c:v>1.87867774825712E-6</c:v>
                </c:pt>
                <c:pt idx="59">
                  <c:v>1.16079762779719E-6</c:v>
                </c:pt>
                <c:pt idx="60">
                  <c:v>7.1723377481625E-7</c:v>
                </c:pt>
                <c:pt idx="61">
                  <c:v>4.43164489105641E-7</c:v>
                </c:pt>
                <c:pt idx="62">
                  <c:v>2.73822526652978E-7</c:v>
                </c:pt>
                <c:pt idx="63">
                  <c:v>1.69189494858557E-7</c:v>
                </c:pt>
                <c:pt idx="64">
                  <c:v>1.04538825040912E-7</c:v>
                </c:pt>
                <c:pt idx="65">
                  <c:v>6.45924616016202E-8</c:v>
                </c:pt>
                <c:pt idx="66">
                  <c:v>3.99103976533865E-8</c:v>
                </c:pt>
                <c:pt idx="67">
                  <c:v>2.46598412800836E-8</c:v>
                </c:pt>
                <c:pt idx="68">
                  <c:v>1.52368255790236E-8</c:v>
                </c:pt>
                <c:pt idx="69">
                  <c:v>9.41453159875038E-9</c:v>
                </c:pt>
                <c:pt idx="70">
                  <c:v>5.81705195124016E-9</c:v>
                </c:pt>
                <c:pt idx="71">
                  <c:v>-0.269731678118059</c:v>
                </c:pt>
                <c:pt idx="72">
                  <c:v>-0.166661840989084</c:v>
                </c:pt>
                <c:pt idx="73">
                  <c:v>-0.102977037905475</c:v>
                </c:pt>
                <c:pt idx="74">
                  <c:v>-0.0636274642884818</c:v>
                </c:pt>
                <c:pt idx="75">
                  <c:v>-0.0393141451155181</c:v>
                </c:pt>
                <c:pt idx="76">
                  <c:v>-0.0242914286063072</c:v>
                </c:pt>
                <c:pt idx="77">
                  <c:v>-0.0150091907633114</c:v>
                </c:pt>
                <c:pt idx="78">
                  <c:v>-0.00927388055352895</c:v>
                </c:pt>
                <c:pt idx="79">
                  <c:v>-0.00573014640678396</c:v>
                </c:pt>
                <c:pt idx="80">
                  <c:v>-0.00354054353554134</c:v>
                </c:pt>
                <c:pt idx="81">
                  <c:v>-0.00218763145601708</c:v>
                </c:pt>
                <c:pt idx="82">
                  <c:v>-0.00135169398125284</c:v>
                </c:pt>
                <c:pt idx="83">
                  <c:v>-0.00083518483606107</c:v>
                </c:pt>
                <c:pt idx="84">
                  <c:v>-0.000516044104701435</c:v>
                </c:pt>
                <c:pt idx="85">
                  <c:v>-0.000318853392086565</c:v>
                </c:pt>
                <c:pt idx="86">
                  <c:v>-0.00019701317139123</c:v>
                </c:pt>
                <c:pt idx="87">
                  <c:v>-0.000121730521502883</c:v>
                </c:pt>
                <c:pt idx="88">
                  <c:v>-7.52148689386334E-5</c:v>
                </c:pt>
                <c:pt idx="89">
                  <c:v>-4.64737720630992E-5</c:v>
                </c:pt>
                <c:pt idx="90">
                  <c:v>-2.87152197465945E-5</c:v>
                </c:pt>
                <c:pt idx="91">
                  <c:v>-1.77425633531292E-5</c:v>
                </c:pt>
                <c:pt idx="92">
                  <c:v>-1.09627771306131E-5</c:v>
                </c:pt>
                <c:pt idx="93">
                  <c:v>-6.77368202256501E-6</c:v>
                </c:pt>
                <c:pt idx="94">
                  <c:v>-4.18532344445555E-6</c:v>
                </c:pt>
                <c:pt idx="95">
                  <c:v>-2.58602814179332E-6</c:v>
                </c:pt>
                <c:pt idx="96">
                  <c:v>-1.59785537259816E-6</c:v>
                </c:pt>
                <c:pt idx="97">
                  <c:v>-9.87283065245759E-7</c:v>
                </c:pt>
                <c:pt idx="98">
                  <c:v>-6.10022576591484E-7</c:v>
                </c:pt>
                <c:pt idx="99">
                  <c:v>-3.76920821359983E-7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606776"/>
        <c:axId val="2084603784"/>
      </c:lineChart>
      <c:catAx>
        <c:axId val="2084606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603784"/>
        <c:crosses val="autoZero"/>
        <c:auto val="1"/>
        <c:lblAlgn val="ctr"/>
        <c:lblOffset val="100"/>
        <c:noMultiLvlLbl val="0"/>
      </c:catAx>
      <c:valAx>
        <c:axId val="20846037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460677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25178169454797"/>
          <c:y val="0.0251141552511415"/>
          <c:w val="0.835211888549518"/>
          <c:h val="0.912450652572538"/>
        </c:manualLayout>
      </c:layout>
      <c:lineChart>
        <c:grouping val="standard"/>
        <c:varyColors val="0"/>
        <c:ser>
          <c:idx val="1"/>
          <c:order val="0"/>
          <c:tx>
            <c:strRef>
              <c:f>Zustandsmodell!$B$13</c:f>
              <c:strCache>
                <c:ptCount val="1"/>
                <c:pt idx="0">
                  <c:v>u(k)  [V]</c:v>
                </c:pt>
              </c:strCache>
            </c:strRef>
          </c:tx>
          <c:val>
            <c:numRef>
              <c:f>Zustandsmodell!$B$14:$B$114</c:f>
              <c:numCache>
                <c:formatCode>General</c:formatCode>
                <c:ptCount val="101"/>
                <c:pt idx="0">
                  <c:v>0.0</c:v>
                </c:pt>
                <c:pt idx="1">
                  <c:v>24.0</c:v>
                </c:pt>
                <c:pt idx="2">
                  <c:v>24.0</c:v>
                </c:pt>
                <c:pt idx="3">
                  <c:v>24.0</c:v>
                </c:pt>
                <c:pt idx="4">
                  <c:v>24.0</c:v>
                </c:pt>
                <c:pt idx="5">
                  <c:v>24.0</c:v>
                </c:pt>
                <c:pt idx="6">
                  <c:v>24.0</c:v>
                </c:pt>
                <c:pt idx="7">
                  <c:v>24.0</c:v>
                </c:pt>
                <c:pt idx="8">
                  <c:v>24.0</c:v>
                </c:pt>
                <c:pt idx="9">
                  <c:v>24.0</c:v>
                </c:pt>
                <c:pt idx="10">
                  <c:v>24.0</c:v>
                </c:pt>
                <c:pt idx="11">
                  <c:v>24.0</c:v>
                </c:pt>
                <c:pt idx="12">
                  <c:v>24.0</c:v>
                </c:pt>
                <c:pt idx="13">
                  <c:v>24.0</c:v>
                </c:pt>
                <c:pt idx="14">
                  <c:v>24.0</c:v>
                </c:pt>
                <c:pt idx="15">
                  <c:v>24.0</c:v>
                </c:pt>
                <c:pt idx="16">
                  <c:v>24.0</c:v>
                </c:pt>
                <c:pt idx="17">
                  <c:v>24.0</c:v>
                </c:pt>
                <c:pt idx="18">
                  <c:v>24.0</c:v>
                </c:pt>
                <c:pt idx="19">
                  <c:v>24.0</c:v>
                </c:pt>
                <c:pt idx="20">
                  <c:v>24.0</c:v>
                </c:pt>
                <c:pt idx="21">
                  <c:v>24.0</c:v>
                </c:pt>
                <c:pt idx="22">
                  <c:v>24.0</c:v>
                </c:pt>
                <c:pt idx="23">
                  <c:v>24.0</c:v>
                </c:pt>
                <c:pt idx="24">
                  <c:v>24.0</c:v>
                </c:pt>
                <c:pt idx="25">
                  <c:v>24.0</c:v>
                </c:pt>
                <c:pt idx="26">
                  <c:v>24.0</c:v>
                </c:pt>
                <c:pt idx="27">
                  <c:v>24.0</c:v>
                </c:pt>
                <c:pt idx="28">
                  <c:v>24.0</c:v>
                </c:pt>
                <c:pt idx="29">
                  <c:v>24.0</c:v>
                </c:pt>
                <c:pt idx="30">
                  <c:v>24.0</c:v>
                </c:pt>
                <c:pt idx="31">
                  <c:v>24.0</c:v>
                </c:pt>
                <c:pt idx="32">
                  <c:v>24.0</c:v>
                </c:pt>
                <c:pt idx="33">
                  <c:v>24.0</c:v>
                </c:pt>
                <c:pt idx="34">
                  <c:v>24.0</c:v>
                </c:pt>
                <c:pt idx="35">
                  <c:v>24.0</c:v>
                </c:pt>
                <c:pt idx="36">
                  <c:v>24.0</c:v>
                </c:pt>
                <c:pt idx="37">
                  <c:v>24.0</c:v>
                </c:pt>
                <c:pt idx="38">
                  <c:v>24.0</c:v>
                </c:pt>
                <c:pt idx="39">
                  <c:v>24.0</c:v>
                </c:pt>
                <c:pt idx="40">
                  <c:v>24.0</c:v>
                </c:pt>
                <c:pt idx="41">
                  <c:v>24.0</c:v>
                </c:pt>
                <c:pt idx="42">
                  <c:v>24.0</c:v>
                </c:pt>
                <c:pt idx="43">
                  <c:v>24.0</c:v>
                </c:pt>
                <c:pt idx="44">
                  <c:v>24.0</c:v>
                </c:pt>
                <c:pt idx="45">
                  <c:v>24.0</c:v>
                </c:pt>
                <c:pt idx="46">
                  <c:v>24.0</c:v>
                </c:pt>
                <c:pt idx="47">
                  <c:v>24.0</c:v>
                </c:pt>
                <c:pt idx="48">
                  <c:v>24.0</c:v>
                </c:pt>
                <c:pt idx="49">
                  <c:v>24.0</c:v>
                </c:pt>
                <c:pt idx="50">
                  <c:v>24.0</c:v>
                </c:pt>
                <c:pt idx="51">
                  <c:v>24.0</c:v>
                </c:pt>
                <c:pt idx="52">
                  <c:v>24.0</c:v>
                </c:pt>
                <c:pt idx="53">
                  <c:v>24.0</c:v>
                </c:pt>
                <c:pt idx="54">
                  <c:v>24.0</c:v>
                </c:pt>
                <c:pt idx="55">
                  <c:v>24.0</c:v>
                </c:pt>
                <c:pt idx="56">
                  <c:v>24.0</c:v>
                </c:pt>
                <c:pt idx="57">
                  <c:v>24.0</c:v>
                </c:pt>
                <c:pt idx="58">
                  <c:v>24.0</c:v>
                </c:pt>
                <c:pt idx="59">
                  <c:v>24.0</c:v>
                </c:pt>
                <c:pt idx="60">
                  <c:v>24.0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Zustandsmodell!$C$13</c:f>
              <c:strCache>
                <c:ptCount val="1"/>
                <c:pt idx="0">
                  <c:v>x1(k)  [A]</c:v>
                </c:pt>
              </c:strCache>
            </c:strRef>
          </c:tx>
          <c:val>
            <c:numRef>
              <c:f>Zustandsmodell!$C$14:$C$114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6.896837256731212</c:v>
                </c:pt>
                <c:pt idx="2">
                  <c:v>6.342181886111428</c:v>
                </c:pt>
                <c:pt idx="3">
                  <c:v>5.633939658872235</c:v>
                </c:pt>
                <c:pt idx="4">
                  <c:v>4.998594507526828</c:v>
                </c:pt>
                <c:pt idx="5">
                  <c:v>4.434697523517548</c:v>
                </c:pt>
                <c:pt idx="6">
                  <c:v>3.93440789354225</c:v>
                </c:pt>
                <c:pt idx="7">
                  <c:v>3.490557012854068</c:v>
                </c:pt>
                <c:pt idx="8">
                  <c:v>3.096778108135514</c:v>
                </c:pt>
                <c:pt idx="9">
                  <c:v>2.747422435714997</c:v>
                </c:pt>
                <c:pt idx="10">
                  <c:v>2.437478494315711</c:v>
                </c:pt>
                <c:pt idx="11">
                  <c:v>2.162500143049448</c:v>
                </c:pt>
                <c:pt idx="12">
                  <c:v>1.918542821852344</c:v>
                </c:pt>
                <c:pt idx="13">
                  <c:v>1.70210696684194</c:v>
                </c:pt>
                <c:pt idx="14">
                  <c:v>1.510087809129359</c:v>
                </c:pt>
                <c:pt idx="15">
                  <c:v>1.339730836959124</c:v>
                </c:pt>
                <c:pt idx="16">
                  <c:v>1.188592282281939</c:v>
                </c:pt>
                <c:pt idx="17">
                  <c:v>1.054504064940987</c:v>
                </c:pt>
                <c:pt idx="18">
                  <c:v>0.935542691596663</c:v>
                </c:pt>
                <c:pt idx="19">
                  <c:v>0.83000166324528</c:v>
                </c:pt>
                <c:pt idx="20">
                  <c:v>0.73636699551808</c:v>
                </c:pt>
                <c:pt idx="21">
                  <c:v>0.653295500599596</c:v>
                </c:pt>
                <c:pt idx="22">
                  <c:v>0.579595519219871</c:v>
                </c:pt>
                <c:pt idx="23">
                  <c:v>0.514209826321218</c:v>
                </c:pt>
                <c:pt idx="24">
                  <c:v>0.456200465181636</c:v>
                </c:pt>
                <c:pt idx="25">
                  <c:v>0.404735292440587</c:v>
                </c:pt>
                <c:pt idx="26">
                  <c:v>0.359076041015753</c:v>
                </c:pt>
                <c:pt idx="27">
                  <c:v>0.318567729673523</c:v>
                </c:pt>
                <c:pt idx="28">
                  <c:v>0.28262926733363</c:v>
                </c:pt>
                <c:pt idx="29">
                  <c:v>0.250745117326878</c:v>
                </c:pt>
                <c:pt idx="30">
                  <c:v>0.222457902029839</c:v>
                </c:pt>
                <c:pt idx="31">
                  <c:v>0.197361841790139</c:v>
                </c:pt>
                <c:pt idx="32">
                  <c:v>0.175096934023819</c:v>
                </c:pt>
                <c:pt idx="33">
                  <c:v>0.155343788984004</c:v>
                </c:pt>
                <c:pt idx="34">
                  <c:v>0.137819048120078</c:v>
                </c:pt>
                <c:pt idx="35">
                  <c:v>0.122271319303793</c:v>
                </c:pt>
                <c:pt idx="36">
                  <c:v>0.108477570613203</c:v>
                </c:pt>
                <c:pt idx="37">
                  <c:v>0.0962399309432933</c:v>
                </c:pt>
                <c:pt idx="38">
                  <c:v>0.0853828515481391</c:v>
                </c:pt>
                <c:pt idx="39">
                  <c:v>0.0757505877969418</c:v>
                </c:pt>
                <c:pt idx="40">
                  <c:v>0.0672049650197855</c:v>
                </c:pt>
                <c:pt idx="41">
                  <c:v>0.0596233963941981</c:v>
                </c:pt>
                <c:pt idx="42">
                  <c:v>0.0528971244391401</c:v>
                </c:pt>
                <c:pt idx="43">
                  <c:v>0.0469296608906737</c:v>
                </c:pt>
                <c:pt idx="44">
                  <c:v>0.0416354025793501</c:v>
                </c:pt>
                <c:pt idx="45">
                  <c:v>0.0369384034541161</c:v>
                </c:pt>
                <c:pt idx="46">
                  <c:v>0.0327712851374183</c:v>
                </c:pt>
                <c:pt idx="47">
                  <c:v>0.0290742703834504</c:v>
                </c:pt>
                <c:pt idx="48">
                  <c:v>0.0257943255745198</c:v>
                </c:pt>
                <c:pt idx="49">
                  <c:v>0.022884399954643</c:v>
                </c:pt>
                <c:pt idx="50">
                  <c:v>0.0203027506872055</c:v>
                </c:pt>
                <c:pt idx="51">
                  <c:v>0.0180123440546305</c:v>
                </c:pt>
                <c:pt idx="52">
                  <c:v>0.0159803242102986</c:v>
                </c:pt>
                <c:pt idx="53">
                  <c:v>0.0141775418619432</c:v>
                </c:pt>
                <c:pt idx="54">
                  <c:v>0.0125781361255254</c:v>
                </c:pt>
                <c:pt idx="55">
                  <c:v>0.0111591635512573</c:v>
                </c:pt>
                <c:pt idx="56">
                  <c:v>0.00990026900019197</c:v>
                </c:pt>
                <c:pt idx="57">
                  <c:v>0.00878339365006482</c:v>
                </c:pt>
                <c:pt idx="58">
                  <c:v>0.00779251594179067</c:v>
                </c:pt>
                <c:pt idx="59">
                  <c:v>0.00691342175044125</c:v>
                </c:pt>
                <c:pt idx="60">
                  <c:v>0.0061335004838631</c:v>
                </c:pt>
                <c:pt idx="61">
                  <c:v>-6.891395692547292</c:v>
                </c:pt>
                <c:pt idx="62">
                  <c:v>-6.337354199076</c:v>
                </c:pt>
                <c:pt idx="63">
                  <c:v>-5.629656595891759</c:v>
                </c:pt>
                <c:pt idx="64">
                  <c:v>-4.994794628131147</c:v>
                </c:pt>
                <c:pt idx="65">
                  <c:v>-4.43132631849732</c:v>
                </c:pt>
                <c:pt idx="66">
                  <c:v>-3.931417003015218</c:v>
                </c:pt>
                <c:pt idx="67">
                  <c:v>-3.487903532543314</c:v>
                </c:pt>
                <c:pt idx="68">
                  <c:v>-3.094423973908294</c:v>
                </c:pt>
                <c:pt idx="69">
                  <c:v>-2.745333877553358</c:v>
                </c:pt>
                <c:pt idx="70">
                  <c:v>-2.435625551886128</c:v>
                </c:pt>
                <c:pt idx="71">
                  <c:v>-2.160856235922317</c:v>
                </c:pt>
                <c:pt idx="72">
                  <c:v>-1.91708436820614</c:v>
                </c:pt>
                <c:pt idx="73">
                  <c:v>-1.700813045182362</c:v>
                </c:pt>
                <c:pt idx="74">
                  <c:v>-1.508939858170836</c:v>
                </c:pt>
                <c:pt idx="75">
                  <c:v>-1.33871238936346</c:v>
                </c:pt>
                <c:pt idx="76">
                  <c:v>-1.187688728434612</c:v>
                </c:pt>
                <c:pt idx="77">
                  <c:v>-1.053702443376467</c:v>
                </c:pt>
                <c:pt idx="78">
                  <c:v>-0.934831503066389</c:v>
                </c:pt>
                <c:pt idx="79">
                  <c:v>-0.829370705761127</c:v>
                </c:pt>
                <c:pt idx="80">
                  <c:v>-0.735807218004997</c:v>
                </c:pt>
                <c:pt idx="81">
                  <c:v>-0.652798873058086</c:v>
                </c:pt>
                <c:pt idx="82">
                  <c:v>-0.579154917535768</c:v>
                </c:pt>
                <c:pt idx="83">
                  <c:v>-0.513818930070391</c:v>
                </c:pt>
                <c:pt idx="84">
                  <c:v>-0.4558536669636</c:v>
                </c:pt>
                <c:pt idx="85">
                  <c:v>-0.404427617440433</c:v>
                </c:pt>
                <c:pt idx="86">
                  <c:v>-0.358803075640511</c:v>
                </c:pt>
                <c:pt idx="87">
                  <c:v>-0.318325558239238</c:v>
                </c:pt>
                <c:pt idx="88">
                  <c:v>-0.282414415894938</c:v>
                </c:pt>
                <c:pt idx="89">
                  <c:v>-0.250554503843317</c:v>
                </c:pt>
                <c:pt idx="90">
                  <c:v>-0.222288792154026</c:v>
                </c:pt>
                <c:pt idx="91">
                  <c:v>-0.197211809643604</c:v>
                </c:pt>
                <c:pt idx="92">
                  <c:v>-0.174963827397812</c:v>
                </c:pt>
                <c:pt idx="93">
                  <c:v>-0.155225698466097</c:v>
                </c:pt>
                <c:pt idx="94">
                  <c:v>-0.137714279703674</c:v>
                </c:pt>
                <c:pt idx="95">
                  <c:v>-0.122178370087631</c:v>
                </c:pt>
                <c:pt idx="96">
                  <c:v>-0.108395107242258</c:v>
                </c:pt>
                <c:pt idx="97">
                  <c:v>-0.0961667704818244</c:v>
                </c:pt>
                <c:pt idx="98">
                  <c:v>-0.085317944510493</c:v>
                </c:pt>
                <c:pt idx="99">
                  <c:v>-0.0756930030926986</c:v>
                </c:pt>
                <c:pt idx="100">
                  <c:v>-0.0671538765972805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Zustandsmodell!$E$13</c:f>
              <c:strCache>
                <c:ptCount val="1"/>
                <c:pt idx="0">
                  <c:v>f(k)=x2(k)/2π </c:v>
                </c:pt>
              </c:strCache>
            </c:strRef>
          </c:tx>
          <c:val>
            <c:numRef>
              <c:f>Zustandsmodell!$E$14:$E$114</c:f>
              <c:numCache>
                <c:formatCode>0.00</c:formatCode>
                <c:ptCount val="101"/>
                <c:pt idx="1">
                  <c:v>8.732681680444141</c:v>
                </c:pt>
                <c:pt idx="2">
                  <c:v>16.76306626242565</c:v>
                </c:pt>
                <c:pt idx="3">
                  <c:v>23.89668415369071</c:v>
                </c:pt>
                <c:pt idx="4">
                  <c:v>30.22583664184684</c:v>
                </c:pt>
                <c:pt idx="5">
                  <c:v>35.84099042616094</c:v>
                </c:pt>
                <c:pt idx="6">
                  <c:v>40.82268427456926</c:v>
                </c:pt>
                <c:pt idx="7">
                  <c:v>45.24238016502204</c:v>
                </c:pt>
                <c:pt idx="8">
                  <c:v>49.16347855355104</c:v>
                </c:pt>
                <c:pt idx="9">
                  <c:v>52.64222753365686</c:v>
                </c:pt>
                <c:pt idx="10">
                  <c:v>55.72852970397598</c:v>
                </c:pt>
                <c:pt idx="11">
                  <c:v>58.4666580199276</c:v>
                </c:pt>
                <c:pt idx="12">
                  <c:v>60.89589088854225</c:v>
                </c:pt>
                <c:pt idx="13">
                  <c:v>63.05107561658407</c:v>
                </c:pt>
                <c:pt idx="14">
                  <c:v>64.96312829461058</c:v>
                </c:pt>
                <c:pt idx="15">
                  <c:v>66.65947728779882</c:v>
                </c:pt>
                <c:pt idx="16">
                  <c:v>68.16445669540633</c:v>
                </c:pt>
                <c:pt idx="17">
                  <c:v>69.4996554230371</c:v>
                </c:pt>
                <c:pt idx="18">
                  <c:v>70.68422687514814</c:v>
                </c:pt>
                <c:pt idx="19">
                  <c:v>71.73516371033097</c:v>
                </c:pt>
                <c:pt idx="20">
                  <c:v>72.66754160072825</c:v>
                </c:pt>
                <c:pt idx="21">
                  <c:v>73.49473549231018</c:v>
                </c:pt>
                <c:pt idx="22">
                  <c:v>74.2286114682612</c:v>
                </c:pt>
                <c:pt idx="23">
                  <c:v>74.87969696775403</c:v>
                </c:pt>
                <c:pt idx="24">
                  <c:v>75.45733180189683</c:v>
                </c:pt>
                <c:pt idx="25">
                  <c:v>75.96980213317448</c:v>
                </c:pt>
                <c:pt idx="26">
                  <c:v>76.4244593403174</c:v>
                </c:pt>
                <c:pt idx="27">
                  <c:v>76.82782547371216</c:v>
                </c:pt>
                <c:pt idx="28">
                  <c:v>77.18568681411031</c:v>
                </c:pt>
                <c:pt idx="29">
                  <c:v>77.50317687673346</c:v>
                </c:pt>
                <c:pt idx="30">
                  <c:v>77.78485005146728</c:v>
                </c:pt>
                <c:pt idx="31">
                  <c:v>78.03474693551183</c:v>
                </c:pt>
                <c:pt idx="32">
                  <c:v>78.2564522956839</c:v>
                </c:pt>
                <c:pt idx="33">
                  <c:v>78.45314649183987</c:v>
                </c:pt>
                <c:pt idx="34">
                  <c:v>78.62765109908718</c:v>
                </c:pt>
                <c:pt idx="35">
                  <c:v>78.78246938323414</c:v>
                </c:pt>
                <c:pt idx="36">
                  <c:v>78.91982221009814</c:v>
                </c:pt>
                <c:pt idx="37">
                  <c:v>79.04167990379035</c:v>
                </c:pt>
                <c:pt idx="38">
                  <c:v>79.14979051098365</c:v>
                </c:pt>
                <c:pt idx="39">
                  <c:v>79.2457048766143</c:v>
                </c:pt>
                <c:pt idx="40">
                  <c:v>79.33079889072785</c:v>
                </c:pt>
                <c:pt idx="41">
                  <c:v>79.40629322559986</c:v>
                </c:pt>
                <c:pt idx="42">
                  <c:v>79.47327084626026</c:v>
                </c:pt>
                <c:pt idx="43">
                  <c:v>79.53269254560941</c:v>
                </c:pt>
                <c:pt idx="44">
                  <c:v>79.58541072697693</c:v>
                </c:pt>
                <c:pt idx="45">
                  <c:v>79.6321816318339</c:v>
                </c:pt>
                <c:pt idx="46">
                  <c:v>79.6736761880647</c:v>
                </c:pt>
                <c:pt idx="47">
                  <c:v>79.7104896344168</c:v>
                </c:pt>
                <c:pt idx="48">
                  <c:v>79.7431500591911</c:v>
                </c:pt>
                <c:pt idx="49">
                  <c:v>79.77212597566017</c:v>
                </c:pt>
                <c:pt idx="50">
                  <c:v>79.79783304288375</c:v>
                </c:pt>
                <c:pt idx="51">
                  <c:v>79.8206400283312</c:v>
                </c:pt>
                <c:pt idx="52">
                  <c:v>79.84087409784511</c:v>
                </c:pt>
                <c:pt idx="53">
                  <c:v>79.85882550883001</c:v>
                </c:pt>
                <c:pt idx="54">
                  <c:v>79.87475177399021</c:v>
                </c:pt>
                <c:pt idx="55">
                  <c:v>79.8888813553455</c:v>
                </c:pt>
                <c:pt idx="56">
                  <c:v>79.9014169415151</c:v>
                </c:pt>
                <c:pt idx="57">
                  <c:v>79.91253835528271</c:v>
                </c:pt>
                <c:pt idx="58">
                  <c:v>79.92240513315151</c:v>
                </c:pt>
                <c:pt idx="59">
                  <c:v>79.93115881389269</c:v>
                </c:pt>
                <c:pt idx="60">
                  <c:v>79.9389249689169</c:v>
                </c:pt>
                <c:pt idx="61">
                  <c:v>71.21313332314994</c:v>
                </c:pt>
                <c:pt idx="62">
                  <c:v>63.18886149293623</c:v>
                </c:pt>
                <c:pt idx="63">
                  <c:v>56.06066675785616</c:v>
                </c:pt>
                <c:pt idx="64">
                  <c:v>49.73632562539124</c:v>
                </c:pt>
                <c:pt idx="65">
                  <c:v>44.12544041509526</c:v>
                </c:pt>
                <c:pt idx="66">
                  <c:v>39.14753359165814</c:v>
                </c:pt>
                <c:pt idx="67">
                  <c:v>34.73119750194251</c:v>
                </c:pt>
                <c:pt idx="68">
                  <c:v>30.81307988620459</c:v>
                </c:pt>
                <c:pt idx="69">
                  <c:v>27.33697541008193</c:v>
                </c:pt>
                <c:pt idx="70">
                  <c:v>24.25301941030553</c:v>
                </c:pt>
                <c:pt idx="71">
                  <c:v>21.51697258723523</c:v>
                </c:pt>
                <c:pt idx="72">
                  <c:v>19.08958639282267</c:v>
                </c:pt>
                <c:pt idx="73">
                  <c:v>16.93604001081569</c:v>
                </c:pt>
                <c:pt idx="74">
                  <c:v>15.02544085270451</c:v>
                </c:pt>
                <c:pt idx="75">
                  <c:v>13.33038140403214</c:v>
                </c:pt>
                <c:pt idx="76">
                  <c:v>11.82654606403651</c:v>
                </c:pt>
                <c:pt idx="77">
                  <c:v>10.4923623387453</c:v>
                </c:pt>
                <c:pt idx="78">
                  <c:v>9.308691383893866</c:v>
                </c:pt>
                <c:pt idx="79">
                  <c:v>8.258553458509513</c:v>
                </c:pt>
                <c:pt idx="80">
                  <c:v>7.326884350797925</c:v>
                </c:pt>
                <c:pt idx="81">
                  <c:v>6.500319282265223</c:v>
                </c:pt>
                <c:pt idx="82">
                  <c:v>5.767001190183576</c:v>
                </c:pt>
                <c:pt idx="83">
                  <c:v>5.116410638215449</c:v>
                </c:pt>
                <c:pt idx="84">
                  <c:v>4.539214915267065</c:v>
                </c:pt>
                <c:pt idx="85">
                  <c:v>4.027134157896604</c:v>
                </c:pt>
                <c:pt idx="86">
                  <c:v>3.57282257580514</c:v>
                </c:pt>
                <c:pt idx="87">
                  <c:v>3.169763076591951</c:v>
                </c:pt>
                <c:pt idx="88">
                  <c:v>2.812173778167946</c:v>
                </c:pt>
                <c:pt idx="89">
                  <c:v>2.494925067749292</c:v>
                </c:pt>
                <c:pt idx="90">
                  <c:v>2.213466017643831</c:v>
                </c:pt>
                <c:pt idx="91">
                  <c:v>1.963759102265901</c:v>
                </c:pt>
                <c:pt idx="92">
                  <c:v>1.74222227989619</c:v>
                </c:pt>
                <c:pt idx="93">
                  <c:v>1.545677608350396</c:v>
                </c:pt>
                <c:pt idx="94">
                  <c:v>1.371305657449264</c:v>
                </c:pt>
                <c:pt idx="95">
                  <c:v>1.216605064337624</c:v>
                </c:pt>
                <c:pt idx="96">
                  <c:v>1.07935665147412</c:v>
                </c:pt>
                <c:pt idx="97">
                  <c:v>0.957591592564766</c:v>
                </c:pt>
                <c:pt idx="98">
                  <c:v>0.849563169781153</c:v>
                </c:pt>
                <c:pt idx="99">
                  <c:v>0.753721717121054</c:v>
                </c:pt>
                <c:pt idx="100">
                  <c:v>0.668692390474332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199688"/>
        <c:axId val="2072202664"/>
      </c:lineChart>
      <c:catAx>
        <c:axId val="207219968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2202664"/>
        <c:crosses val="autoZero"/>
        <c:auto val="1"/>
        <c:lblAlgn val="ctr"/>
        <c:lblOffset val="100"/>
        <c:noMultiLvlLbl val="0"/>
      </c:catAx>
      <c:valAx>
        <c:axId val="2072202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2199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54003792230598"/>
          <c:y val="0.0190350142402412"/>
          <c:w val="0.835211888549518"/>
          <c:h val="0.912450652572538"/>
        </c:manualLayout>
      </c:layout>
      <c:lineChart>
        <c:grouping val="standard"/>
        <c:varyColors val="0"/>
        <c:ser>
          <c:idx val="3"/>
          <c:order val="0"/>
          <c:tx>
            <c:strRef>
              <c:f>Zustandsmodell!$F$13</c:f>
              <c:strCache>
                <c:ptCount val="1"/>
                <c:pt idx="0">
                  <c:v>u(k)/uN</c:v>
                </c:pt>
              </c:strCache>
            </c:strRef>
          </c:tx>
          <c:cat>
            <c:numRef>
              <c:f>Zustandsmodell!$A$14:$A$114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Zustandsmodell!$F$14:$F$114</c:f>
              <c:numCache>
                <c:formatCode>General</c:formatCode>
                <c:ptCount val="101"/>
                <c:pt idx="0">
                  <c:v>0.0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1.0</c:v>
                </c:pt>
                <c:pt idx="34">
                  <c:v>1.0</c:v>
                </c:pt>
                <c:pt idx="35">
                  <c:v>1.0</c:v>
                </c:pt>
                <c:pt idx="36">
                  <c:v>1.0</c:v>
                </c:pt>
                <c:pt idx="37">
                  <c:v>1.0</c:v>
                </c:pt>
                <c:pt idx="38">
                  <c:v>1.0</c:v>
                </c:pt>
                <c:pt idx="39">
                  <c:v>1.0</c:v>
                </c:pt>
                <c:pt idx="40">
                  <c:v>1.0</c:v>
                </c:pt>
                <c:pt idx="41">
                  <c:v>1.0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Zustandsmodell!$G$13</c:f>
              <c:strCache>
                <c:ptCount val="1"/>
                <c:pt idx="0">
                  <c:v>x1(k)/IN</c:v>
                </c:pt>
              </c:strCache>
            </c:strRef>
          </c:tx>
          <c:cat>
            <c:numRef>
              <c:f>Zustandsmodell!$A$14:$A$114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Zustandsmodell!$G$14:$G$114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2.298945752243737</c:v>
                </c:pt>
                <c:pt idx="2">
                  <c:v>2.114060628703809</c:v>
                </c:pt>
                <c:pt idx="3">
                  <c:v>1.877979886290745</c:v>
                </c:pt>
                <c:pt idx="4">
                  <c:v>1.66619816917561</c:v>
                </c:pt>
                <c:pt idx="5">
                  <c:v>1.478232507839183</c:v>
                </c:pt>
                <c:pt idx="6">
                  <c:v>1.311469297847416</c:v>
                </c:pt>
                <c:pt idx="7">
                  <c:v>1.163519004284689</c:v>
                </c:pt>
                <c:pt idx="8">
                  <c:v>1.032259369378505</c:v>
                </c:pt>
                <c:pt idx="9">
                  <c:v>0.915807478571666</c:v>
                </c:pt>
                <c:pt idx="10">
                  <c:v>0.81249283143857</c:v>
                </c:pt>
                <c:pt idx="11">
                  <c:v>0.720833381016483</c:v>
                </c:pt>
                <c:pt idx="12">
                  <c:v>0.639514273950781</c:v>
                </c:pt>
                <c:pt idx="13">
                  <c:v>0.567368988947313</c:v>
                </c:pt>
                <c:pt idx="14">
                  <c:v>0.50336260304312</c:v>
                </c:pt>
                <c:pt idx="15">
                  <c:v>0.446576945653041</c:v>
                </c:pt>
                <c:pt idx="16">
                  <c:v>0.396197427427313</c:v>
                </c:pt>
                <c:pt idx="17">
                  <c:v>0.351501354980329</c:v>
                </c:pt>
                <c:pt idx="18">
                  <c:v>0.311847563865554</c:v>
                </c:pt>
                <c:pt idx="19">
                  <c:v>0.27666722108176</c:v>
                </c:pt>
                <c:pt idx="20">
                  <c:v>0.245455665172693</c:v>
                </c:pt>
                <c:pt idx="21">
                  <c:v>0.217765166866532</c:v>
                </c:pt>
                <c:pt idx="22">
                  <c:v>0.193198506406624</c:v>
                </c:pt>
                <c:pt idx="23">
                  <c:v>0.171403275440406</c:v>
                </c:pt>
                <c:pt idx="24">
                  <c:v>0.152066821727212</c:v>
                </c:pt>
                <c:pt idx="25">
                  <c:v>0.134911764146862</c:v>
                </c:pt>
                <c:pt idx="26">
                  <c:v>0.119692013671918</c:v>
                </c:pt>
                <c:pt idx="27">
                  <c:v>0.106189243224508</c:v>
                </c:pt>
                <c:pt idx="28">
                  <c:v>0.0942097557778767</c:v>
                </c:pt>
                <c:pt idx="29">
                  <c:v>0.0835817057756259</c:v>
                </c:pt>
                <c:pt idx="30">
                  <c:v>0.0741526340099463</c:v>
                </c:pt>
                <c:pt idx="31">
                  <c:v>0.0657872805967131</c:v>
                </c:pt>
                <c:pt idx="32">
                  <c:v>0.0583656446746063</c:v>
                </c:pt>
                <c:pt idx="33">
                  <c:v>0.0517812629946681</c:v>
                </c:pt>
                <c:pt idx="34">
                  <c:v>0.0459396827066926</c:v>
                </c:pt>
                <c:pt idx="35">
                  <c:v>0.0407571064345977</c:v>
                </c:pt>
                <c:pt idx="36">
                  <c:v>0.036159190204401</c:v>
                </c:pt>
                <c:pt idx="37">
                  <c:v>0.0320799769810978</c:v>
                </c:pt>
                <c:pt idx="38">
                  <c:v>0.0284609505160464</c:v>
                </c:pt>
                <c:pt idx="39">
                  <c:v>0.0252501959323139</c:v>
                </c:pt>
                <c:pt idx="40">
                  <c:v>0.0224016550065952</c:v>
                </c:pt>
                <c:pt idx="41">
                  <c:v>0.0198744654647327</c:v>
                </c:pt>
                <c:pt idx="42">
                  <c:v>0.0176323748130467</c:v>
                </c:pt>
                <c:pt idx="43">
                  <c:v>0.0156432202968912</c:v>
                </c:pt>
                <c:pt idx="44">
                  <c:v>0.01387846752645</c:v>
                </c:pt>
                <c:pt idx="45">
                  <c:v>0.012312801151372</c:v>
                </c:pt>
                <c:pt idx="46">
                  <c:v>0.0109237617124728</c:v>
                </c:pt>
                <c:pt idx="47">
                  <c:v>0.00969142346115012</c:v>
                </c:pt>
                <c:pt idx="48">
                  <c:v>0.00859810852483992</c:v>
                </c:pt>
                <c:pt idx="49">
                  <c:v>0.00762813331821435</c:v>
                </c:pt>
                <c:pt idx="50">
                  <c:v>0.00676758356240184</c:v>
                </c:pt>
                <c:pt idx="51">
                  <c:v>0.00600411468487683</c:v>
                </c:pt>
                <c:pt idx="52">
                  <c:v>0.00532677473676619</c:v>
                </c:pt>
                <c:pt idx="53">
                  <c:v>0.0047258472873144</c:v>
                </c:pt>
                <c:pt idx="54">
                  <c:v>0.0041927120418418</c:v>
                </c:pt>
                <c:pt idx="55">
                  <c:v>0.00371972118375245</c:v>
                </c:pt>
                <c:pt idx="56">
                  <c:v>0.00330008966673066</c:v>
                </c:pt>
                <c:pt idx="57">
                  <c:v>0.00292779788335494</c:v>
                </c:pt>
                <c:pt idx="58">
                  <c:v>0.00259750531393022</c:v>
                </c:pt>
                <c:pt idx="59">
                  <c:v>0.00230447391681375</c:v>
                </c:pt>
                <c:pt idx="60">
                  <c:v>0.0020445001612877</c:v>
                </c:pt>
                <c:pt idx="61">
                  <c:v>-2.297131897515763</c:v>
                </c:pt>
                <c:pt idx="62">
                  <c:v>-2.112451399692</c:v>
                </c:pt>
                <c:pt idx="63">
                  <c:v>-1.876552198630586</c:v>
                </c:pt>
                <c:pt idx="64">
                  <c:v>-1.664931542710382</c:v>
                </c:pt>
                <c:pt idx="65">
                  <c:v>-1.47710877283244</c:v>
                </c:pt>
                <c:pt idx="66">
                  <c:v>-1.310472334338406</c:v>
                </c:pt>
                <c:pt idx="67">
                  <c:v>-1.162634510847772</c:v>
                </c:pt>
                <c:pt idx="68">
                  <c:v>-1.031474657969431</c:v>
                </c:pt>
                <c:pt idx="69">
                  <c:v>-0.915111292517786</c:v>
                </c:pt>
                <c:pt idx="70">
                  <c:v>-0.811875183962043</c:v>
                </c:pt>
                <c:pt idx="71">
                  <c:v>-0.720285411974106</c:v>
                </c:pt>
                <c:pt idx="72">
                  <c:v>-0.63902812273538</c:v>
                </c:pt>
                <c:pt idx="73">
                  <c:v>-0.566937681727454</c:v>
                </c:pt>
                <c:pt idx="74">
                  <c:v>-0.502979952723612</c:v>
                </c:pt>
                <c:pt idx="75">
                  <c:v>-0.446237463121153</c:v>
                </c:pt>
                <c:pt idx="76">
                  <c:v>-0.395896242811537</c:v>
                </c:pt>
                <c:pt idx="77">
                  <c:v>-0.351234147792156</c:v>
                </c:pt>
                <c:pt idx="78">
                  <c:v>-0.31161050102213</c:v>
                </c:pt>
                <c:pt idx="79">
                  <c:v>-0.276456901920376</c:v>
                </c:pt>
                <c:pt idx="80">
                  <c:v>-0.245269072668332</c:v>
                </c:pt>
                <c:pt idx="81">
                  <c:v>-0.217599624352695</c:v>
                </c:pt>
                <c:pt idx="82">
                  <c:v>-0.193051639178589</c:v>
                </c:pt>
                <c:pt idx="83">
                  <c:v>-0.17127297669013</c:v>
                </c:pt>
                <c:pt idx="84">
                  <c:v>-0.1519512223212</c:v>
                </c:pt>
                <c:pt idx="85">
                  <c:v>-0.134809205813478</c:v>
                </c:pt>
                <c:pt idx="86">
                  <c:v>-0.119601025213504</c:v>
                </c:pt>
                <c:pt idx="87">
                  <c:v>-0.106108519413079</c:v>
                </c:pt>
                <c:pt idx="88">
                  <c:v>-0.094138138631646</c:v>
                </c:pt>
                <c:pt idx="89">
                  <c:v>-0.0835181679477722</c:v>
                </c:pt>
                <c:pt idx="90">
                  <c:v>-0.074096264051342</c:v>
                </c:pt>
                <c:pt idx="91">
                  <c:v>-0.0657372698812014</c:v>
                </c:pt>
                <c:pt idx="92">
                  <c:v>-0.0583212757992707</c:v>
                </c:pt>
                <c:pt idx="93">
                  <c:v>-0.0517418994886989</c:v>
                </c:pt>
                <c:pt idx="94">
                  <c:v>-0.0459047599012246</c:v>
                </c:pt>
                <c:pt idx="95">
                  <c:v>-0.0407261233625435</c:v>
                </c:pt>
                <c:pt idx="96">
                  <c:v>-0.0361317024140859</c:v>
                </c:pt>
                <c:pt idx="97">
                  <c:v>-0.0320555901606081</c:v>
                </c:pt>
                <c:pt idx="98">
                  <c:v>-0.028439314836831</c:v>
                </c:pt>
                <c:pt idx="99">
                  <c:v>-0.0252310010308995</c:v>
                </c:pt>
                <c:pt idx="100">
                  <c:v>-0.0223846255324268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Zustandsmodell!$H$13</c:f>
              <c:strCache>
                <c:ptCount val="1"/>
                <c:pt idx="0">
                  <c:v>x2(k)/fN</c:v>
                </c:pt>
              </c:strCache>
            </c:strRef>
          </c:tx>
          <c:cat>
            <c:numRef>
              <c:f>Zustandsmodell!$A$14:$A$114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Zustandsmodell!$H$14:$H$114</c:f>
              <c:numCache>
                <c:formatCode>0.00</c:formatCode>
                <c:ptCount val="101"/>
                <c:pt idx="1">
                  <c:v>0.174653633608883</c:v>
                </c:pt>
                <c:pt idx="2">
                  <c:v>0.335261325248513</c:v>
                </c:pt>
                <c:pt idx="3">
                  <c:v>0.477933683073814</c:v>
                </c:pt>
                <c:pt idx="4">
                  <c:v>0.604516732836937</c:v>
                </c:pt>
                <c:pt idx="5">
                  <c:v>0.716819808523219</c:v>
                </c:pt>
                <c:pt idx="6">
                  <c:v>0.816453685491385</c:v>
                </c:pt>
                <c:pt idx="7">
                  <c:v>0.904847603300441</c:v>
                </c:pt>
                <c:pt idx="8">
                  <c:v>0.983269571071021</c:v>
                </c:pt>
                <c:pt idx="9">
                  <c:v>1.052844550673137</c:v>
                </c:pt>
                <c:pt idx="10">
                  <c:v>1.11457059407952</c:v>
                </c:pt>
                <c:pt idx="11">
                  <c:v>1.169333160398552</c:v>
                </c:pt>
                <c:pt idx="12">
                  <c:v>1.217917817770845</c:v>
                </c:pt>
                <c:pt idx="13">
                  <c:v>1.261021512331681</c:v>
                </c:pt>
                <c:pt idx="14">
                  <c:v>1.299262565892212</c:v>
                </c:pt>
                <c:pt idx="15">
                  <c:v>1.333189545755976</c:v>
                </c:pt>
                <c:pt idx="16">
                  <c:v>1.363289133908127</c:v>
                </c:pt>
                <c:pt idx="17">
                  <c:v>1.389993108460742</c:v>
                </c:pt>
                <c:pt idx="18">
                  <c:v>1.413684537502963</c:v>
                </c:pt>
                <c:pt idx="19">
                  <c:v>1.43470327420662</c:v>
                </c:pt>
                <c:pt idx="20">
                  <c:v>1.453350832014565</c:v>
                </c:pt>
                <c:pt idx="21">
                  <c:v>1.469894709846204</c:v>
                </c:pt>
                <c:pt idx="22">
                  <c:v>1.484572229365224</c:v>
                </c:pt>
                <c:pt idx="23">
                  <c:v>1.497593939355081</c:v>
                </c:pt>
                <c:pt idx="24">
                  <c:v>1.509146636037937</c:v>
                </c:pt>
                <c:pt idx="25">
                  <c:v>1.51939604266349</c:v>
                </c:pt>
                <c:pt idx="26">
                  <c:v>1.528489186806348</c:v>
                </c:pt>
                <c:pt idx="27">
                  <c:v>1.536556509474243</c:v>
                </c:pt>
                <c:pt idx="28">
                  <c:v>1.543713736282206</c:v>
                </c:pt>
                <c:pt idx="29">
                  <c:v>1.550063537534669</c:v>
                </c:pt>
                <c:pt idx="30">
                  <c:v>1.555697001029346</c:v>
                </c:pt>
                <c:pt idx="31">
                  <c:v>1.560694938710237</c:v>
                </c:pt>
                <c:pt idx="32">
                  <c:v>1.565129045913678</c:v>
                </c:pt>
                <c:pt idx="33">
                  <c:v>1.569062929836797</c:v>
                </c:pt>
                <c:pt idx="34">
                  <c:v>1.572553021981744</c:v>
                </c:pt>
                <c:pt idx="35">
                  <c:v>1.575649387664683</c:v>
                </c:pt>
                <c:pt idx="36">
                  <c:v>1.578396444201963</c:v>
                </c:pt>
                <c:pt idx="37">
                  <c:v>1.580833598075807</c:v>
                </c:pt>
                <c:pt idx="38">
                  <c:v>1.582995810219673</c:v>
                </c:pt>
                <c:pt idx="39">
                  <c:v>1.584914097532286</c:v>
                </c:pt>
                <c:pt idx="40">
                  <c:v>1.586615977814557</c:v>
                </c:pt>
                <c:pt idx="41">
                  <c:v>1.588125864511997</c:v>
                </c:pt>
                <c:pt idx="42">
                  <c:v>1.589465416925205</c:v>
                </c:pt>
                <c:pt idx="43">
                  <c:v>1.590653850912188</c:v>
                </c:pt>
                <c:pt idx="44">
                  <c:v>1.591708214539538</c:v>
                </c:pt>
                <c:pt idx="45">
                  <c:v>1.592643632636678</c:v>
                </c:pt>
                <c:pt idx="46">
                  <c:v>1.593473523761294</c:v>
                </c:pt>
                <c:pt idx="47">
                  <c:v>1.594209792688336</c:v>
                </c:pt>
                <c:pt idx="48">
                  <c:v>1.594863001183822</c:v>
                </c:pt>
                <c:pt idx="49">
                  <c:v>1.595442519513203</c:v>
                </c:pt>
                <c:pt idx="50">
                  <c:v>1.595956660857675</c:v>
                </c:pt>
                <c:pt idx="51">
                  <c:v>1.596412800566624</c:v>
                </c:pt>
                <c:pt idx="52">
                  <c:v>1.596817481956903</c:v>
                </c:pt>
                <c:pt idx="53">
                  <c:v>1.5971765101766</c:v>
                </c:pt>
                <c:pt idx="54">
                  <c:v>1.597495035479804</c:v>
                </c:pt>
                <c:pt idx="55">
                  <c:v>1.59777762710691</c:v>
                </c:pt>
                <c:pt idx="56">
                  <c:v>1.598028338830302</c:v>
                </c:pt>
                <c:pt idx="57">
                  <c:v>1.598250767105654</c:v>
                </c:pt>
                <c:pt idx="58">
                  <c:v>1.59844810266303</c:v>
                </c:pt>
                <c:pt idx="59">
                  <c:v>1.598623176277854</c:v>
                </c:pt>
                <c:pt idx="60">
                  <c:v>1.598778499378338</c:v>
                </c:pt>
                <c:pt idx="61">
                  <c:v>1.424262666462999</c:v>
                </c:pt>
                <c:pt idx="62">
                  <c:v>1.263777229858725</c:v>
                </c:pt>
                <c:pt idx="63">
                  <c:v>1.121213335157123</c:v>
                </c:pt>
                <c:pt idx="64">
                  <c:v>0.994726512507825</c:v>
                </c:pt>
                <c:pt idx="65">
                  <c:v>0.882508808301905</c:v>
                </c:pt>
                <c:pt idx="66">
                  <c:v>0.782950671833163</c:v>
                </c:pt>
                <c:pt idx="67">
                  <c:v>0.69462395003885</c:v>
                </c:pt>
                <c:pt idx="68">
                  <c:v>0.616261597724092</c:v>
                </c:pt>
                <c:pt idx="69">
                  <c:v>0.546739508201639</c:v>
                </c:pt>
                <c:pt idx="70">
                  <c:v>0.485060388206111</c:v>
                </c:pt>
                <c:pt idx="71">
                  <c:v>0.430339451744705</c:v>
                </c:pt>
                <c:pt idx="72">
                  <c:v>0.381791727856453</c:v>
                </c:pt>
                <c:pt idx="73">
                  <c:v>0.338720800216314</c:v>
                </c:pt>
                <c:pt idx="74">
                  <c:v>0.30050881705409</c:v>
                </c:pt>
                <c:pt idx="75">
                  <c:v>0.266607628080643</c:v>
                </c:pt>
                <c:pt idx="76">
                  <c:v>0.23653092128073</c:v>
                </c:pt>
                <c:pt idx="77">
                  <c:v>0.209847246774906</c:v>
                </c:pt>
                <c:pt idx="78">
                  <c:v>0.186173827677877</c:v>
                </c:pt>
                <c:pt idx="79">
                  <c:v>0.16517106917019</c:v>
                </c:pt>
                <c:pt idx="80">
                  <c:v>0.146537687015958</c:v>
                </c:pt>
                <c:pt idx="81">
                  <c:v>0.130006385645304</c:v>
                </c:pt>
                <c:pt idx="82">
                  <c:v>0.115340023803672</c:v>
                </c:pt>
                <c:pt idx="83">
                  <c:v>0.102328212764309</c:v>
                </c:pt>
                <c:pt idx="84">
                  <c:v>0.0907842983053413</c:v>
                </c:pt>
                <c:pt idx="85">
                  <c:v>0.0805426831579321</c:v>
                </c:pt>
                <c:pt idx="86">
                  <c:v>0.0714564515161028</c:v>
                </c:pt>
                <c:pt idx="87">
                  <c:v>0.063395261531839</c:v>
                </c:pt>
                <c:pt idx="88">
                  <c:v>0.0562434755633589</c:v>
                </c:pt>
                <c:pt idx="89">
                  <c:v>0.0498985013549858</c:v>
                </c:pt>
                <c:pt idx="90">
                  <c:v>0.0442693203528766</c:v>
                </c:pt>
                <c:pt idx="91">
                  <c:v>0.039275182045318</c:v>
                </c:pt>
                <c:pt idx="92">
                  <c:v>0.0348444455979238</c:v>
                </c:pt>
                <c:pt idx="93">
                  <c:v>0.0309135521670079</c:v>
                </c:pt>
                <c:pt idx="94">
                  <c:v>0.0274261131489853</c:v>
                </c:pt>
                <c:pt idx="95">
                  <c:v>0.0243321012867525</c:v>
                </c:pt>
                <c:pt idx="96">
                  <c:v>0.0215871330294824</c:v>
                </c:pt>
                <c:pt idx="97">
                  <c:v>0.0191518318512953</c:v>
                </c:pt>
                <c:pt idx="98">
                  <c:v>0.0169912633956231</c:v>
                </c:pt>
                <c:pt idx="99">
                  <c:v>0.0150744343424211</c:v>
                </c:pt>
                <c:pt idx="100">
                  <c:v>0.0133738478094866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239928"/>
        <c:axId val="2072242968"/>
      </c:lineChart>
      <c:catAx>
        <c:axId val="207223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2242968"/>
        <c:crosses val="autoZero"/>
        <c:auto val="1"/>
        <c:lblAlgn val="ctr"/>
        <c:lblOffset val="100"/>
        <c:noMultiLvlLbl val="0"/>
      </c:catAx>
      <c:valAx>
        <c:axId val="2072242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2239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0636074761117494"/>
          <c:y val="0.642677165354331"/>
          <c:w val="0.109231279364101"/>
          <c:h val="0.27123423401862"/>
        </c:manualLayout>
      </c:layout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25178169454797"/>
          <c:y val="0.0251141552511415"/>
          <c:w val="0.835211888549518"/>
          <c:h val="0.912450652572538"/>
        </c:manualLayout>
      </c:layout>
      <c:lineChart>
        <c:grouping val="standard"/>
        <c:varyColors val="0"/>
        <c:ser>
          <c:idx val="1"/>
          <c:order val="0"/>
          <c:tx>
            <c:strRef>
              <c:f>Zustandsregler!$C$13</c:f>
              <c:strCache>
                <c:ptCount val="1"/>
                <c:pt idx="0">
                  <c:v>u(k) - uR(k)  [V]</c:v>
                </c:pt>
              </c:strCache>
            </c:strRef>
          </c:tx>
          <c:val>
            <c:numRef>
              <c:f>Zustandsregler!$C$14:$C$114</c:f>
              <c:numCache>
                <c:formatCode>0</c:formatCode>
                <c:ptCount val="101"/>
                <c:pt idx="0" formatCode="General">
                  <c:v>0.0</c:v>
                </c:pt>
                <c:pt idx="1">
                  <c:v>24.0</c:v>
                </c:pt>
                <c:pt idx="2">
                  <c:v>24.0</c:v>
                </c:pt>
                <c:pt idx="3">
                  <c:v>24.0</c:v>
                </c:pt>
                <c:pt idx="4">
                  <c:v>24.0</c:v>
                </c:pt>
                <c:pt idx="5">
                  <c:v>24.0</c:v>
                </c:pt>
                <c:pt idx="6">
                  <c:v>24.0</c:v>
                </c:pt>
                <c:pt idx="7">
                  <c:v>24.0</c:v>
                </c:pt>
                <c:pt idx="8">
                  <c:v>24.0</c:v>
                </c:pt>
                <c:pt idx="9">
                  <c:v>24.0</c:v>
                </c:pt>
                <c:pt idx="10">
                  <c:v>24.0</c:v>
                </c:pt>
                <c:pt idx="11">
                  <c:v>24.0</c:v>
                </c:pt>
                <c:pt idx="12">
                  <c:v>24.0</c:v>
                </c:pt>
                <c:pt idx="13">
                  <c:v>24.0</c:v>
                </c:pt>
                <c:pt idx="14">
                  <c:v>24.0</c:v>
                </c:pt>
                <c:pt idx="15">
                  <c:v>24.0</c:v>
                </c:pt>
                <c:pt idx="16">
                  <c:v>24.0</c:v>
                </c:pt>
                <c:pt idx="17">
                  <c:v>24.0</c:v>
                </c:pt>
                <c:pt idx="18">
                  <c:v>24.0</c:v>
                </c:pt>
                <c:pt idx="19">
                  <c:v>24.0</c:v>
                </c:pt>
                <c:pt idx="20">
                  <c:v>24.0</c:v>
                </c:pt>
                <c:pt idx="21">
                  <c:v>24.0</c:v>
                </c:pt>
                <c:pt idx="22">
                  <c:v>24.0</c:v>
                </c:pt>
                <c:pt idx="23">
                  <c:v>24.0</c:v>
                </c:pt>
                <c:pt idx="24">
                  <c:v>24.0</c:v>
                </c:pt>
                <c:pt idx="25">
                  <c:v>24.0</c:v>
                </c:pt>
                <c:pt idx="26">
                  <c:v>24.0</c:v>
                </c:pt>
                <c:pt idx="27">
                  <c:v>24.0</c:v>
                </c:pt>
                <c:pt idx="28">
                  <c:v>24.0</c:v>
                </c:pt>
                <c:pt idx="29">
                  <c:v>24.0</c:v>
                </c:pt>
                <c:pt idx="30">
                  <c:v>24.0</c:v>
                </c:pt>
                <c:pt idx="31">
                  <c:v>24.0</c:v>
                </c:pt>
                <c:pt idx="32">
                  <c:v>24.0</c:v>
                </c:pt>
                <c:pt idx="33">
                  <c:v>24.0</c:v>
                </c:pt>
                <c:pt idx="34">
                  <c:v>24.0</c:v>
                </c:pt>
                <c:pt idx="35">
                  <c:v>24.0</c:v>
                </c:pt>
                <c:pt idx="36">
                  <c:v>24.0</c:v>
                </c:pt>
                <c:pt idx="37">
                  <c:v>24.0</c:v>
                </c:pt>
                <c:pt idx="38">
                  <c:v>24.0</c:v>
                </c:pt>
                <c:pt idx="39">
                  <c:v>24.0</c:v>
                </c:pt>
                <c:pt idx="40">
                  <c:v>24.0</c:v>
                </c:pt>
                <c:pt idx="41">
                  <c:v>24.0</c:v>
                </c:pt>
                <c:pt idx="42">
                  <c:v>24.0</c:v>
                </c:pt>
                <c:pt idx="43">
                  <c:v>24.0</c:v>
                </c:pt>
                <c:pt idx="44">
                  <c:v>24.0</c:v>
                </c:pt>
                <c:pt idx="45">
                  <c:v>24.0</c:v>
                </c:pt>
                <c:pt idx="46">
                  <c:v>24.0</c:v>
                </c:pt>
                <c:pt idx="47">
                  <c:v>24.0</c:v>
                </c:pt>
                <c:pt idx="48">
                  <c:v>24.0</c:v>
                </c:pt>
                <c:pt idx="49">
                  <c:v>24.0</c:v>
                </c:pt>
                <c:pt idx="50">
                  <c:v>24.0</c:v>
                </c:pt>
                <c:pt idx="51">
                  <c:v>24.0</c:v>
                </c:pt>
                <c:pt idx="52">
                  <c:v>24.0</c:v>
                </c:pt>
                <c:pt idx="53">
                  <c:v>24.0</c:v>
                </c:pt>
                <c:pt idx="54">
                  <c:v>24.0</c:v>
                </c:pt>
                <c:pt idx="55">
                  <c:v>24.0</c:v>
                </c:pt>
                <c:pt idx="56">
                  <c:v>24.0</c:v>
                </c:pt>
                <c:pt idx="57">
                  <c:v>24.0</c:v>
                </c:pt>
                <c:pt idx="58">
                  <c:v>24.0</c:v>
                </c:pt>
                <c:pt idx="59">
                  <c:v>24.0</c:v>
                </c:pt>
                <c:pt idx="60">
                  <c:v>24.0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Zustandsregler!$D$13</c:f>
              <c:strCache>
                <c:ptCount val="1"/>
                <c:pt idx="0">
                  <c:v>x1(k)  [A]</c:v>
                </c:pt>
              </c:strCache>
            </c:strRef>
          </c:tx>
          <c:val>
            <c:numRef>
              <c:f>Zustandsregler!$D$14:$D$114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6.896837256731212</c:v>
                </c:pt>
                <c:pt idx="2">
                  <c:v>6.342181886111428</c:v>
                </c:pt>
                <c:pt idx="3">
                  <c:v>5.633939658872235</c:v>
                </c:pt>
                <c:pt idx="4">
                  <c:v>4.998594507526828</c:v>
                </c:pt>
                <c:pt idx="5">
                  <c:v>4.434697523517548</c:v>
                </c:pt>
                <c:pt idx="6">
                  <c:v>3.93440789354225</c:v>
                </c:pt>
                <c:pt idx="7">
                  <c:v>3.490557012854068</c:v>
                </c:pt>
                <c:pt idx="8">
                  <c:v>3.096778108135514</c:v>
                </c:pt>
                <c:pt idx="9">
                  <c:v>2.747422435714997</c:v>
                </c:pt>
                <c:pt idx="10">
                  <c:v>2.437478494315711</c:v>
                </c:pt>
                <c:pt idx="11">
                  <c:v>2.162500143049448</c:v>
                </c:pt>
                <c:pt idx="12">
                  <c:v>1.918542821852344</c:v>
                </c:pt>
                <c:pt idx="13">
                  <c:v>1.70210696684194</c:v>
                </c:pt>
                <c:pt idx="14">
                  <c:v>1.510087809129359</c:v>
                </c:pt>
                <c:pt idx="15">
                  <c:v>1.339730836959124</c:v>
                </c:pt>
                <c:pt idx="16">
                  <c:v>1.188592282281939</c:v>
                </c:pt>
                <c:pt idx="17">
                  <c:v>1.054504064940987</c:v>
                </c:pt>
                <c:pt idx="18">
                  <c:v>0.935542691596663</c:v>
                </c:pt>
                <c:pt idx="19">
                  <c:v>0.83000166324528</c:v>
                </c:pt>
                <c:pt idx="20">
                  <c:v>0.73636699551808</c:v>
                </c:pt>
                <c:pt idx="21">
                  <c:v>0.653295500599596</c:v>
                </c:pt>
                <c:pt idx="22">
                  <c:v>0.579595519219871</c:v>
                </c:pt>
                <c:pt idx="23">
                  <c:v>0.514209826321218</c:v>
                </c:pt>
                <c:pt idx="24">
                  <c:v>0.456200465181636</c:v>
                </c:pt>
                <c:pt idx="25">
                  <c:v>0.404735292440587</c:v>
                </c:pt>
                <c:pt idx="26">
                  <c:v>0.359076041015753</c:v>
                </c:pt>
                <c:pt idx="27">
                  <c:v>0.318567729673523</c:v>
                </c:pt>
                <c:pt idx="28">
                  <c:v>0.28262926733363</c:v>
                </c:pt>
                <c:pt idx="29">
                  <c:v>0.250745117326878</c:v>
                </c:pt>
                <c:pt idx="30">
                  <c:v>0.222457902029839</c:v>
                </c:pt>
                <c:pt idx="31">
                  <c:v>0.197361841790139</c:v>
                </c:pt>
                <c:pt idx="32">
                  <c:v>0.175096934023819</c:v>
                </c:pt>
                <c:pt idx="33">
                  <c:v>0.155343788984004</c:v>
                </c:pt>
                <c:pt idx="34">
                  <c:v>0.137819048120078</c:v>
                </c:pt>
                <c:pt idx="35">
                  <c:v>0.122271319303793</c:v>
                </c:pt>
                <c:pt idx="36">
                  <c:v>0.108477570613203</c:v>
                </c:pt>
                <c:pt idx="37">
                  <c:v>0.0962399309432933</c:v>
                </c:pt>
                <c:pt idx="38">
                  <c:v>0.0853828515481391</c:v>
                </c:pt>
                <c:pt idx="39">
                  <c:v>0.0757505877969418</c:v>
                </c:pt>
                <c:pt idx="40">
                  <c:v>0.0672049650197855</c:v>
                </c:pt>
                <c:pt idx="41">
                  <c:v>0.0596233963941981</c:v>
                </c:pt>
                <c:pt idx="42">
                  <c:v>0.0528971244391401</c:v>
                </c:pt>
                <c:pt idx="43">
                  <c:v>0.0469296608906737</c:v>
                </c:pt>
                <c:pt idx="44">
                  <c:v>0.0416354025793501</c:v>
                </c:pt>
                <c:pt idx="45">
                  <c:v>0.0369384034541161</c:v>
                </c:pt>
                <c:pt idx="46">
                  <c:v>0.0327712851374183</c:v>
                </c:pt>
                <c:pt idx="47">
                  <c:v>0.0290742703834504</c:v>
                </c:pt>
                <c:pt idx="48">
                  <c:v>0.0257943255745198</c:v>
                </c:pt>
                <c:pt idx="49">
                  <c:v>0.022884399954643</c:v>
                </c:pt>
                <c:pt idx="50">
                  <c:v>0.0203027506872055</c:v>
                </c:pt>
                <c:pt idx="51">
                  <c:v>0.0180123440546305</c:v>
                </c:pt>
                <c:pt idx="52">
                  <c:v>0.0159803242102986</c:v>
                </c:pt>
                <c:pt idx="53">
                  <c:v>0.0141775418619432</c:v>
                </c:pt>
                <c:pt idx="54">
                  <c:v>0.0125781361255254</c:v>
                </c:pt>
                <c:pt idx="55">
                  <c:v>0.0111591635512573</c:v>
                </c:pt>
                <c:pt idx="56">
                  <c:v>0.00990026900019197</c:v>
                </c:pt>
                <c:pt idx="57">
                  <c:v>0.00878339365006482</c:v>
                </c:pt>
                <c:pt idx="58">
                  <c:v>0.00779251594179067</c:v>
                </c:pt>
                <c:pt idx="59">
                  <c:v>0.00691342175044125</c:v>
                </c:pt>
                <c:pt idx="60">
                  <c:v>0.0061335004838631</c:v>
                </c:pt>
                <c:pt idx="61">
                  <c:v>-6.891395692547292</c:v>
                </c:pt>
                <c:pt idx="62">
                  <c:v>-6.337354199076</c:v>
                </c:pt>
                <c:pt idx="63">
                  <c:v>-5.629656595891759</c:v>
                </c:pt>
                <c:pt idx="64">
                  <c:v>-4.994794628131147</c:v>
                </c:pt>
                <c:pt idx="65">
                  <c:v>-4.43132631849732</c:v>
                </c:pt>
                <c:pt idx="66">
                  <c:v>-3.931417003015218</c:v>
                </c:pt>
                <c:pt idx="67">
                  <c:v>-3.487903532543314</c:v>
                </c:pt>
                <c:pt idx="68">
                  <c:v>-3.094423973908294</c:v>
                </c:pt>
                <c:pt idx="69">
                  <c:v>-2.745333877553358</c:v>
                </c:pt>
                <c:pt idx="70">
                  <c:v>-2.435625551886128</c:v>
                </c:pt>
                <c:pt idx="71">
                  <c:v>-2.160856235922317</c:v>
                </c:pt>
                <c:pt idx="72">
                  <c:v>-1.91708436820614</c:v>
                </c:pt>
                <c:pt idx="73">
                  <c:v>-1.700813045182362</c:v>
                </c:pt>
                <c:pt idx="74">
                  <c:v>-1.508939858170836</c:v>
                </c:pt>
                <c:pt idx="75">
                  <c:v>-1.33871238936346</c:v>
                </c:pt>
                <c:pt idx="76">
                  <c:v>-1.187688728434612</c:v>
                </c:pt>
                <c:pt idx="77">
                  <c:v>-1.053702443376467</c:v>
                </c:pt>
                <c:pt idx="78">
                  <c:v>-0.934831503066389</c:v>
                </c:pt>
                <c:pt idx="79">
                  <c:v>-0.829370705761127</c:v>
                </c:pt>
                <c:pt idx="80">
                  <c:v>-0.735807218004997</c:v>
                </c:pt>
                <c:pt idx="81">
                  <c:v>-0.652798873058086</c:v>
                </c:pt>
                <c:pt idx="82">
                  <c:v>-0.579154917535768</c:v>
                </c:pt>
                <c:pt idx="83">
                  <c:v>-0.513818930070391</c:v>
                </c:pt>
                <c:pt idx="84">
                  <c:v>-0.4558536669636</c:v>
                </c:pt>
                <c:pt idx="85">
                  <c:v>-0.404427617440433</c:v>
                </c:pt>
                <c:pt idx="86">
                  <c:v>-0.358803075640511</c:v>
                </c:pt>
                <c:pt idx="87">
                  <c:v>-0.318325558239238</c:v>
                </c:pt>
                <c:pt idx="88">
                  <c:v>-0.282414415894938</c:v>
                </c:pt>
                <c:pt idx="89">
                  <c:v>-0.250554503843317</c:v>
                </c:pt>
                <c:pt idx="90">
                  <c:v>-0.222288792154026</c:v>
                </c:pt>
                <c:pt idx="91">
                  <c:v>-0.197211809643604</c:v>
                </c:pt>
                <c:pt idx="92">
                  <c:v>-0.174963827397812</c:v>
                </c:pt>
                <c:pt idx="93">
                  <c:v>-0.155225698466097</c:v>
                </c:pt>
                <c:pt idx="94">
                  <c:v>-0.137714279703674</c:v>
                </c:pt>
                <c:pt idx="95">
                  <c:v>-0.122178370087631</c:v>
                </c:pt>
                <c:pt idx="96">
                  <c:v>-0.108395107242258</c:v>
                </c:pt>
                <c:pt idx="97">
                  <c:v>-0.0961667704818244</c:v>
                </c:pt>
                <c:pt idx="98">
                  <c:v>-0.085317944510493</c:v>
                </c:pt>
                <c:pt idx="99">
                  <c:v>-0.0756930030926986</c:v>
                </c:pt>
                <c:pt idx="100">
                  <c:v>-0.0671538765972805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Zustandsregler!$F$13</c:f>
              <c:strCache>
                <c:ptCount val="1"/>
                <c:pt idx="0">
                  <c:v>f(k)=x2(k)/2π </c:v>
                </c:pt>
              </c:strCache>
            </c:strRef>
          </c:tx>
          <c:val>
            <c:numRef>
              <c:f>Zustandsregler!$F$14:$F$114</c:f>
              <c:numCache>
                <c:formatCode>0.00</c:formatCode>
                <c:ptCount val="101"/>
                <c:pt idx="1">
                  <c:v>8.732681680444141</c:v>
                </c:pt>
                <c:pt idx="2">
                  <c:v>16.76306626242565</c:v>
                </c:pt>
                <c:pt idx="3">
                  <c:v>23.89668415369071</c:v>
                </c:pt>
                <c:pt idx="4">
                  <c:v>30.22583664184684</c:v>
                </c:pt>
                <c:pt idx="5">
                  <c:v>35.84099042616094</c:v>
                </c:pt>
                <c:pt idx="6">
                  <c:v>40.82268427456926</c:v>
                </c:pt>
                <c:pt idx="7">
                  <c:v>45.24238016502204</c:v>
                </c:pt>
                <c:pt idx="8">
                  <c:v>49.16347855355104</c:v>
                </c:pt>
                <c:pt idx="9">
                  <c:v>52.64222753365686</c:v>
                </c:pt>
                <c:pt idx="10">
                  <c:v>55.72852970397598</c:v>
                </c:pt>
                <c:pt idx="11">
                  <c:v>58.4666580199276</c:v>
                </c:pt>
                <c:pt idx="12">
                  <c:v>60.89589088854225</c:v>
                </c:pt>
                <c:pt idx="13">
                  <c:v>63.05107561658407</c:v>
                </c:pt>
                <c:pt idx="14">
                  <c:v>64.96312829461058</c:v>
                </c:pt>
                <c:pt idx="15">
                  <c:v>66.65947728779882</c:v>
                </c:pt>
                <c:pt idx="16">
                  <c:v>68.16445669540633</c:v>
                </c:pt>
                <c:pt idx="17">
                  <c:v>69.4996554230371</c:v>
                </c:pt>
                <c:pt idx="18">
                  <c:v>70.68422687514814</c:v>
                </c:pt>
                <c:pt idx="19">
                  <c:v>71.73516371033097</c:v>
                </c:pt>
                <c:pt idx="20">
                  <c:v>72.66754160072825</c:v>
                </c:pt>
                <c:pt idx="21">
                  <c:v>73.49473549231018</c:v>
                </c:pt>
                <c:pt idx="22">
                  <c:v>74.2286114682612</c:v>
                </c:pt>
                <c:pt idx="23">
                  <c:v>74.87969696775403</c:v>
                </c:pt>
                <c:pt idx="24">
                  <c:v>75.45733180189683</c:v>
                </c:pt>
                <c:pt idx="25">
                  <c:v>75.96980213317448</c:v>
                </c:pt>
                <c:pt idx="26">
                  <c:v>76.4244593403174</c:v>
                </c:pt>
                <c:pt idx="27">
                  <c:v>76.82782547371216</c:v>
                </c:pt>
                <c:pt idx="28">
                  <c:v>77.18568681411031</c:v>
                </c:pt>
                <c:pt idx="29">
                  <c:v>77.50317687673346</c:v>
                </c:pt>
                <c:pt idx="30">
                  <c:v>77.78485005146728</c:v>
                </c:pt>
                <c:pt idx="31">
                  <c:v>78.03474693551183</c:v>
                </c:pt>
                <c:pt idx="32">
                  <c:v>78.2564522956839</c:v>
                </c:pt>
                <c:pt idx="33">
                  <c:v>78.45314649183987</c:v>
                </c:pt>
                <c:pt idx="34">
                  <c:v>78.62765109908718</c:v>
                </c:pt>
                <c:pt idx="35">
                  <c:v>78.78246938323414</c:v>
                </c:pt>
                <c:pt idx="36">
                  <c:v>78.91982221009814</c:v>
                </c:pt>
                <c:pt idx="37">
                  <c:v>79.04167990379035</c:v>
                </c:pt>
                <c:pt idx="38">
                  <c:v>79.14979051098365</c:v>
                </c:pt>
                <c:pt idx="39">
                  <c:v>79.2457048766143</c:v>
                </c:pt>
                <c:pt idx="40">
                  <c:v>79.33079889072785</c:v>
                </c:pt>
                <c:pt idx="41">
                  <c:v>79.40629322559986</c:v>
                </c:pt>
                <c:pt idx="42">
                  <c:v>79.47327084626026</c:v>
                </c:pt>
                <c:pt idx="43">
                  <c:v>79.53269254560941</c:v>
                </c:pt>
                <c:pt idx="44">
                  <c:v>79.58541072697693</c:v>
                </c:pt>
                <c:pt idx="45">
                  <c:v>79.6321816318339</c:v>
                </c:pt>
                <c:pt idx="46">
                  <c:v>79.6736761880647</c:v>
                </c:pt>
                <c:pt idx="47">
                  <c:v>79.7104896344168</c:v>
                </c:pt>
                <c:pt idx="48">
                  <c:v>79.7431500591911</c:v>
                </c:pt>
                <c:pt idx="49">
                  <c:v>79.77212597566017</c:v>
                </c:pt>
                <c:pt idx="50">
                  <c:v>79.79783304288375</c:v>
                </c:pt>
                <c:pt idx="51">
                  <c:v>79.8206400283312</c:v>
                </c:pt>
                <c:pt idx="52">
                  <c:v>79.84087409784511</c:v>
                </c:pt>
                <c:pt idx="53">
                  <c:v>79.85882550883001</c:v>
                </c:pt>
                <c:pt idx="54">
                  <c:v>79.87475177399021</c:v>
                </c:pt>
                <c:pt idx="55">
                  <c:v>79.8888813553455</c:v>
                </c:pt>
                <c:pt idx="56">
                  <c:v>79.9014169415151</c:v>
                </c:pt>
                <c:pt idx="57">
                  <c:v>79.91253835528271</c:v>
                </c:pt>
                <c:pt idx="58">
                  <c:v>79.92240513315151</c:v>
                </c:pt>
                <c:pt idx="59">
                  <c:v>79.93115881389269</c:v>
                </c:pt>
                <c:pt idx="60">
                  <c:v>79.9389249689169</c:v>
                </c:pt>
                <c:pt idx="61">
                  <c:v>71.21313332314994</c:v>
                </c:pt>
                <c:pt idx="62">
                  <c:v>63.18886149293623</c:v>
                </c:pt>
                <c:pt idx="63">
                  <c:v>56.06066675785616</c:v>
                </c:pt>
                <c:pt idx="64">
                  <c:v>49.73632562539124</c:v>
                </c:pt>
                <c:pt idx="65">
                  <c:v>44.12544041509526</c:v>
                </c:pt>
                <c:pt idx="66">
                  <c:v>39.14753359165814</c:v>
                </c:pt>
                <c:pt idx="67">
                  <c:v>34.73119750194251</c:v>
                </c:pt>
                <c:pt idx="68">
                  <c:v>30.81307988620459</c:v>
                </c:pt>
                <c:pt idx="69">
                  <c:v>27.33697541008193</c:v>
                </c:pt>
                <c:pt idx="70">
                  <c:v>24.25301941030553</c:v>
                </c:pt>
                <c:pt idx="71">
                  <c:v>21.51697258723523</c:v>
                </c:pt>
                <c:pt idx="72">
                  <c:v>19.08958639282267</c:v>
                </c:pt>
                <c:pt idx="73">
                  <c:v>16.93604001081569</c:v>
                </c:pt>
                <c:pt idx="74">
                  <c:v>15.02544085270451</c:v>
                </c:pt>
                <c:pt idx="75">
                  <c:v>13.33038140403214</c:v>
                </c:pt>
                <c:pt idx="76">
                  <c:v>11.82654606403651</c:v>
                </c:pt>
                <c:pt idx="77">
                  <c:v>10.4923623387453</c:v>
                </c:pt>
                <c:pt idx="78">
                  <c:v>9.308691383893866</c:v>
                </c:pt>
                <c:pt idx="79">
                  <c:v>8.258553458509513</c:v>
                </c:pt>
                <c:pt idx="80">
                  <c:v>7.326884350797925</c:v>
                </c:pt>
                <c:pt idx="81">
                  <c:v>6.500319282265223</c:v>
                </c:pt>
                <c:pt idx="82">
                  <c:v>5.767001190183576</c:v>
                </c:pt>
                <c:pt idx="83">
                  <c:v>5.116410638215449</c:v>
                </c:pt>
                <c:pt idx="84">
                  <c:v>4.539214915267065</c:v>
                </c:pt>
                <c:pt idx="85">
                  <c:v>4.027134157896604</c:v>
                </c:pt>
                <c:pt idx="86">
                  <c:v>3.57282257580514</c:v>
                </c:pt>
                <c:pt idx="87">
                  <c:v>3.169763076591951</c:v>
                </c:pt>
                <c:pt idx="88">
                  <c:v>2.812173778167946</c:v>
                </c:pt>
                <c:pt idx="89">
                  <c:v>2.494925067749292</c:v>
                </c:pt>
                <c:pt idx="90">
                  <c:v>2.213466017643831</c:v>
                </c:pt>
                <c:pt idx="91">
                  <c:v>1.963759102265901</c:v>
                </c:pt>
                <c:pt idx="92">
                  <c:v>1.74222227989619</c:v>
                </c:pt>
                <c:pt idx="93">
                  <c:v>1.545677608350396</c:v>
                </c:pt>
                <c:pt idx="94">
                  <c:v>1.371305657449264</c:v>
                </c:pt>
                <c:pt idx="95">
                  <c:v>1.216605064337624</c:v>
                </c:pt>
                <c:pt idx="96">
                  <c:v>1.07935665147412</c:v>
                </c:pt>
                <c:pt idx="97">
                  <c:v>0.957591592564766</c:v>
                </c:pt>
                <c:pt idx="98">
                  <c:v>0.849563169781153</c:v>
                </c:pt>
                <c:pt idx="99">
                  <c:v>0.753721717121054</c:v>
                </c:pt>
                <c:pt idx="100">
                  <c:v>0.668692390474332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864728"/>
        <c:axId val="2071503688"/>
      </c:lineChart>
      <c:catAx>
        <c:axId val="207186472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503688"/>
        <c:crosses val="autoZero"/>
        <c:auto val="1"/>
        <c:lblAlgn val="ctr"/>
        <c:lblOffset val="100"/>
        <c:noMultiLvlLbl val="0"/>
      </c:catAx>
      <c:valAx>
        <c:axId val="2071503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864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30278999822531"/>
          <c:y val="0.0190350142402412"/>
          <c:w val="0.835211888549518"/>
          <c:h val="0.912450652572538"/>
        </c:manualLayout>
      </c:layout>
      <c:lineChart>
        <c:grouping val="standard"/>
        <c:varyColors val="0"/>
        <c:ser>
          <c:idx val="3"/>
          <c:order val="0"/>
          <c:tx>
            <c:strRef>
              <c:f>Zustandsregler!$G$13</c:f>
              <c:strCache>
                <c:ptCount val="1"/>
                <c:pt idx="0">
                  <c:v>u(k)/uN</c:v>
                </c:pt>
              </c:strCache>
            </c:strRef>
          </c:tx>
          <c:cat>
            <c:numRef>
              <c:f>Zustandsregler!$A$14:$A$114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Zustandsregler!$G$14:$G$114</c:f>
              <c:numCache>
                <c:formatCode>General</c:formatCode>
                <c:ptCount val="101"/>
                <c:pt idx="0">
                  <c:v>0.0</c:v>
                </c:pt>
                <c:pt idx="1">
                  <c:v>1.0</c:v>
                </c:pt>
                <c:pt idx="2" formatCode="0.000">
                  <c:v>1.0</c:v>
                </c:pt>
                <c:pt idx="3" formatCode="0.000">
                  <c:v>1.0</c:v>
                </c:pt>
                <c:pt idx="4" formatCode="0.000">
                  <c:v>1.0</c:v>
                </c:pt>
                <c:pt idx="5" formatCode="0.000">
                  <c:v>1.0</c:v>
                </c:pt>
                <c:pt idx="6" formatCode="0.000">
                  <c:v>1.0</c:v>
                </c:pt>
                <c:pt idx="7" formatCode="0.000">
                  <c:v>1.0</c:v>
                </c:pt>
                <c:pt idx="8" formatCode="0.000">
                  <c:v>1.0</c:v>
                </c:pt>
                <c:pt idx="9" formatCode="0.000">
                  <c:v>1.0</c:v>
                </c:pt>
                <c:pt idx="10" formatCode="0.000">
                  <c:v>1.0</c:v>
                </c:pt>
                <c:pt idx="11" formatCode="0.000">
                  <c:v>1.0</c:v>
                </c:pt>
                <c:pt idx="12" formatCode="0.000">
                  <c:v>1.0</c:v>
                </c:pt>
                <c:pt idx="13" formatCode="0.000">
                  <c:v>1.0</c:v>
                </c:pt>
                <c:pt idx="14" formatCode="0.000">
                  <c:v>1.0</c:v>
                </c:pt>
                <c:pt idx="15" formatCode="0.000">
                  <c:v>1.0</c:v>
                </c:pt>
                <c:pt idx="16" formatCode="0.000">
                  <c:v>1.0</c:v>
                </c:pt>
                <c:pt idx="17" formatCode="0.000">
                  <c:v>1.0</c:v>
                </c:pt>
                <c:pt idx="18" formatCode="0.000">
                  <c:v>1.0</c:v>
                </c:pt>
                <c:pt idx="19" formatCode="0.000">
                  <c:v>1.0</c:v>
                </c:pt>
                <c:pt idx="20" formatCode="0.000">
                  <c:v>1.0</c:v>
                </c:pt>
                <c:pt idx="21" formatCode="0.000">
                  <c:v>1.0</c:v>
                </c:pt>
                <c:pt idx="22" formatCode="0.000">
                  <c:v>1.0</c:v>
                </c:pt>
                <c:pt idx="23" formatCode="0.000">
                  <c:v>1.0</c:v>
                </c:pt>
                <c:pt idx="24" formatCode="0.000">
                  <c:v>1.0</c:v>
                </c:pt>
                <c:pt idx="25" formatCode="0.000">
                  <c:v>1.0</c:v>
                </c:pt>
                <c:pt idx="26" formatCode="0.000">
                  <c:v>1.0</c:v>
                </c:pt>
                <c:pt idx="27" formatCode="0.000">
                  <c:v>1.0</c:v>
                </c:pt>
                <c:pt idx="28" formatCode="0.000">
                  <c:v>1.0</c:v>
                </c:pt>
                <c:pt idx="29" formatCode="0.000">
                  <c:v>1.0</c:v>
                </c:pt>
                <c:pt idx="30" formatCode="0.000">
                  <c:v>1.0</c:v>
                </c:pt>
                <c:pt idx="31" formatCode="0.000">
                  <c:v>1.0</c:v>
                </c:pt>
                <c:pt idx="32" formatCode="0.000">
                  <c:v>1.0</c:v>
                </c:pt>
                <c:pt idx="33" formatCode="0.000">
                  <c:v>1.0</c:v>
                </c:pt>
                <c:pt idx="34" formatCode="0.000">
                  <c:v>1.0</c:v>
                </c:pt>
                <c:pt idx="35" formatCode="0.000">
                  <c:v>1.0</c:v>
                </c:pt>
                <c:pt idx="36" formatCode="0.000">
                  <c:v>1.0</c:v>
                </c:pt>
                <c:pt idx="37" formatCode="0.000">
                  <c:v>1.0</c:v>
                </c:pt>
                <c:pt idx="38" formatCode="0.000">
                  <c:v>1.0</c:v>
                </c:pt>
                <c:pt idx="39" formatCode="0.000">
                  <c:v>1.0</c:v>
                </c:pt>
                <c:pt idx="40" formatCode="0.000">
                  <c:v>1.0</c:v>
                </c:pt>
                <c:pt idx="41" formatCode="0.000">
                  <c:v>1.0</c:v>
                </c:pt>
                <c:pt idx="42" formatCode="0.000">
                  <c:v>1.0</c:v>
                </c:pt>
                <c:pt idx="43" formatCode="0.000">
                  <c:v>1.0</c:v>
                </c:pt>
                <c:pt idx="44" formatCode="0.000">
                  <c:v>1.0</c:v>
                </c:pt>
                <c:pt idx="45" formatCode="0.000">
                  <c:v>1.0</c:v>
                </c:pt>
                <c:pt idx="46" formatCode="0.000">
                  <c:v>1.0</c:v>
                </c:pt>
                <c:pt idx="47" formatCode="0.000">
                  <c:v>1.0</c:v>
                </c:pt>
                <c:pt idx="48" formatCode="0.000">
                  <c:v>1.0</c:v>
                </c:pt>
                <c:pt idx="49" formatCode="0.000">
                  <c:v>1.0</c:v>
                </c:pt>
                <c:pt idx="50" formatCode="0.000">
                  <c:v>1.0</c:v>
                </c:pt>
                <c:pt idx="51" formatCode="0.000">
                  <c:v>1.0</c:v>
                </c:pt>
                <c:pt idx="52" formatCode="0.000">
                  <c:v>1.0</c:v>
                </c:pt>
                <c:pt idx="53" formatCode="0.000">
                  <c:v>1.0</c:v>
                </c:pt>
                <c:pt idx="54" formatCode="0.000">
                  <c:v>1.0</c:v>
                </c:pt>
                <c:pt idx="55" formatCode="0.000">
                  <c:v>1.0</c:v>
                </c:pt>
                <c:pt idx="56" formatCode="0.000">
                  <c:v>1.0</c:v>
                </c:pt>
                <c:pt idx="57" formatCode="0.000">
                  <c:v>1.0</c:v>
                </c:pt>
                <c:pt idx="58" formatCode="0.000">
                  <c:v>1.0</c:v>
                </c:pt>
                <c:pt idx="59" formatCode="0.000">
                  <c:v>1.0</c:v>
                </c:pt>
                <c:pt idx="60" formatCode="0.000">
                  <c:v>1.0</c:v>
                </c:pt>
                <c:pt idx="61" formatCode="0.000">
                  <c:v>0.0</c:v>
                </c:pt>
                <c:pt idx="62" formatCode="0.000">
                  <c:v>0.0</c:v>
                </c:pt>
                <c:pt idx="63" formatCode="0.000">
                  <c:v>0.0</c:v>
                </c:pt>
                <c:pt idx="64" formatCode="0.000">
                  <c:v>0.0</c:v>
                </c:pt>
                <c:pt idx="65" formatCode="0.000">
                  <c:v>0.0</c:v>
                </c:pt>
                <c:pt idx="66" formatCode="0.000">
                  <c:v>0.0</c:v>
                </c:pt>
                <c:pt idx="67" formatCode="0.000">
                  <c:v>0.0</c:v>
                </c:pt>
                <c:pt idx="68" formatCode="0.000">
                  <c:v>0.0</c:v>
                </c:pt>
                <c:pt idx="69" formatCode="0.000">
                  <c:v>0.0</c:v>
                </c:pt>
                <c:pt idx="70" formatCode="0.000">
                  <c:v>0.0</c:v>
                </c:pt>
                <c:pt idx="71" formatCode="0.000">
                  <c:v>0.0</c:v>
                </c:pt>
                <c:pt idx="72" formatCode="0.000">
                  <c:v>0.0</c:v>
                </c:pt>
                <c:pt idx="73" formatCode="0.000">
                  <c:v>0.0</c:v>
                </c:pt>
                <c:pt idx="74" formatCode="0.000">
                  <c:v>0.0</c:v>
                </c:pt>
                <c:pt idx="75" formatCode="0.000">
                  <c:v>0.0</c:v>
                </c:pt>
                <c:pt idx="76" formatCode="0.000">
                  <c:v>0.0</c:v>
                </c:pt>
                <c:pt idx="77" formatCode="0.000">
                  <c:v>0.0</c:v>
                </c:pt>
                <c:pt idx="78" formatCode="0.000">
                  <c:v>0.0</c:v>
                </c:pt>
                <c:pt idx="79" formatCode="0.000">
                  <c:v>0.0</c:v>
                </c:pt>
                <c:pt idx="80" formatCode="0.000">
                  <c:v>0.0</c:v>
                </c:pt>
                <c:pt idx="81" formatCode="0.000">
                  <c:v>0.0</c:v>
                </c:pt>
                <c:pt idx="82" formatCode="0.000">
                  <c:v>0.0</c:v>
                </c:pt>
                <c:pt idx="83" formatCode="0.000">
                  <c:v>0.0</c:v>
                </c:pt>
                <c:pt idx="84" formatCode="0.000">
                  <c:v>0.0</c:v>
                </c:pt>
                <c:pt idx="85" formatCode="0.000">
                  <c:v>0.0</c:v>
                </c:pt>
                <c:pt idx="86" formatCode="0.000">
                  <c:v>0.0</c:v>
                </c:pt>
                <c:pt idx="87" formatCode="0.000">
                  <c:v>0.0</c:v>
                </c:pt>
                <c:pt idx="88" formatCode="0.000">
                  <c:v>0.0</c:v>
                </c:pt>
                <c:pt idx="89" formatCode="0.000">
                  <c:v>0.0</c:v>
                </c:pt>
                <c:pt idx="90" formatCode="0.000">
                  <c:v>0.0</c:v>
                </c:pt>
                <c:pt idx="91" formatCode="0.000">
                  <c:v>0.0</c:v>
                </c:pt>
                <c:pt idx="92" formatCode="0.000">
                  <c:v>0.0</c:v>
                </c:pt>
                <c:pt idx="93" formatCode="0.000">
                  <c:v>0.0</c:v>
                </c:pt>
                <c:pt idx="94" formatCode="0.000">
                  <c:v>0.0</c:v>
                </c:pt>
                <c:pt idx="95" formatCode="0.000">
                  <c:v>0.0</c:v>
                </c:pt>
                <c:pt idx="96" formatCode="0.000">
                  <c:v>0.0</c:v>
                </c:pt>
                <c:pt idx="97" formatCode="0.000">
                  <c:v>0.0</c:v>
                </c:pt>
                <c:pt idx="98" formatCode="0.000">
                  <c:v>0.0</c:v>
                </c:pt>
                <c:pt idx="99" formatCode="0.000">
                  <c:v>0.0</c:v>
                </c:pt>
                <c:pt idx="100" formatCode="0.000">
                  <c:v>0.0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Zustandsregler!$H$13</c:f>
              <c:strCache>
                <c:ptCount val="1"/>
                <c:pt idx="0">
                  <c:v>x1(k)/IN</c:v>
                </c:pt>
              </c:strCache>
            </c:strRef>
          </c:tx>
          <c:cat>
            <c:numRef>
              <c:f>Zustandsregler!$A$14:$A$114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Zustandsregler!$H$14:$H$114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2.298945752243737</c:v>
                </c:pt>
                <c:pt idx="2">
                  <c:v>2.114060628703809</c:v>
                </c:pt>
                <c:pt idx="3">
                  <c:v>1.877979886290745</c:v>
                </c:pt>
                <c:pt idx="4">
                  <c:v>1.66619816917561</c:v>
                </c:pt>
                <c:pt idx="5">
                  <c:v>1.478232507839183</c:v>
                </c:pt>
                <c:pt idx="6">
                  <c:v>1.311469297847416</c:v>
                </c:pt>
                <c:pt idx="7">
                  <c:v>1.163519004284689</c:v>
                </c:pt>
                <c:pt idx="8">
                  <c:v>1.032259369378505</c:v>
                </c:pt>
                <c:pt idx="9">
                  <c:v>0.915807478571666</c:v>
                </c:pt>
                <c:pt idx="10">
                  <c:v>0.81249283143857</c:v>
                </c:pt>
                <c:pt idx="11">
                  <c:v>0.720833381016483</c:v>
                </c:pt>
                <c:pt idx="12">
                  <c:v>0.639514273950781</c:v>
                </c:pt>
                <c:pt idx="13">
                  <c:v>0.567368988947313</c:v>
                </c:pt>
                <c:pt idx="14">
                  <c:v>0.50336260304312</c:v>
                </c:pt>
                <c:pt idx="15">
                  <c:v>0.446576945653041</c:v>
                </c:pt>
                <c:pt idx="16">
                  <c:v>0.396197427427313</c:v>
                </c:pt>
                <c:pt idx="17">
                  <c:v>0.351501354980329</c:v>
                </c:pt>
                <c:pt idx="18">
                  <c:v>0.311847563865554</c:v>
                </c:pt>
                <c:pt idx="19">
                  <c:v>0.27666722108176</c:v>
                </c:pt>
                <c:pt idx="20">
                  <c:v>0.245455665172693</c:v>
                </c:pt>
                <c:pt idx="21">
                  <c:v>0.217765166866532</c:v>
                </c:pt>
                <c:pt idx="22">
                  <c:v>0.193198506406624</c:v>
                </c:pt>
                <c:pt idx="23">
                  <c:v>0.171403275440406</c:v>
                </c:pt>
                <c:pt idx="24">
                  <c:v>0.152066821727212</c:v>
                </c:pt>
                <c:pt idx="25">
                  <c:v>0.134911764146862</c:v>
                </c:pt>
                <c:pt idx="26">
                  <c:v>0.119692013671918</c:v>
                </c:pt>
                <c:pt idx="27">
                  <c:v>0.106189243224508</c:v>
                </c:pt>
                <c:pt idx="28">
                  <c:v>0.0942097557778767</c:v>
                </c:pt>
                <c:pt idx="29">
                  <c:v>0.0835817057756259</c:v>
                </c:pt>
                <c:pt idx="30">
                  <c:v>0.0741526340099463</c:v>
                </c:pt>
                <c:pt idx="31">
                  <c:v>0.0657872805967131</c:v>
                </c:pt>
                <c:pt idx="32">
                  <c:v>0.0583656446746063</c:v>
                </c:pt>
                <c:pt idx="33">
                  <c:v>0.0517812629946681</c:v>
                </c:pt>
                <c:pt idx="34">
                  <c:v>0.0459396827066926</c:v>
                </c:pt>
                <c:pt idx="35">
                  <c:v>0.0407571064345977</c:v>
                </c:pt>
                <c:pt idx="36">
                  <c:v>0.036159190204401</c:v>
                </c:pt>
                <c:pt idx="37">
                  <c:v>0.0320799769810978</c:v>
                </c:pt>
                <c:pt idx="38">
                  <c:v>0.0284609505160464</c:v>
                </c:pt>
                <c:pt idx="39">
                  <c:v>0.0252501959323139</c:v>
                </c:pt>
                <c:pt idx="40">
                  <c:v>0.0224016550065952</c:v>
                </c:pt>
                <c:pt idx="41">
                  <c:v>0.0198744654647327</c:v>
                </c:pt>
                <c:pt idx="42">
                  <c:v>0.0176323748130467</c:v>
                </c:pt>
                <c:pt idx="43">
                  <c:v>0.0156432202968912</c:v>
                </c:pt>
                <c:pt idx="44">
                  <c:v>0.01387846752645</c:v>
                </c:pt>
                <c:pt idx="45">
                  <c:v>0.012312801151372</c:v>
                </c:pt>
                <c:pt idx="46">
                  <c:v>0.0109237617124728</c:v>
                </c:pt>
                <c:pt idx="47">
                  <c:v>0.00969142346115012</c:v>
                </c:pt>
                <c:pt idx="48">
                  <c:v>0.00859810852483992</c:v>
                </c:pt>
                <c:pt idx="49">
                  <c:v>0.00762813331821435</c:v>
                </c:pt>
                <c:pt idx="50">
                  <c:v>0.00676758356240184</c:v>
                </c:pt>
                <c:pt idx="51">
                  <c:v>0.00600411468487683</c:v>
                </c:pt>
                <c:pt idx="52">
                  <c:v>0.00532677473676619</c:v>
                </c:pt>
                <c:pt idx="53">
                  <c:v>0.0047258472873144</c:v>
                </c:pt>
                <c:pt idx="54">
                  <c:v>0.0041927120418418</c:v>
                </c:pt>
                <c:pt idx="55">
                  <c:v>0.00371972118375245</c:v>
                </c:pt>
                <c:pt idx="56">
                  <c:v>0.00330008966673066</c:v>
                </c:pt>
                <c:pt idx="57">
                  <c:v>0.00292779788335494</c:v>
                </c:pt>
                <c:pt idx="58">
                  <c:v>0.00259750531393022</c:v>
                </c:pt>
                <c:pt idx="59">
                  <c:v>0.00230447391681375</c:v>
                </c:pt>
                <c:pt idx="60">
                  <c:v>0.0020445001612877</c:v>
                </c:pt>
                <c:pt idx="61">
                  <c:v>-2.297131897515763</c:v>
                </c:pt>
                <c:pt idx="62">
                  <c:v>-2.112451399692</c:v>
                </c:pt>
                <c:pt idx="63">
                  <c:v>-1.876552198630586</c:v>
                </c:pt>
                <c:pt idx="64">
                  <c:v>-1.664931542710382</c:v>
                </c:pt>
                <c:pt idx="65">
                  <c:v>-1.47710877283244</c:v>
                </c:pt>
                <c:pt idx="66">
                  <c:v>-1.310472334338406</c:v>
                </c:pt>
                <c:pt idx="67">
                  <c:v>-1.162634510847772</c:v>
                </c:pt>
                <c:pt idx="68">
                  <c:v>-1.031474657969431</c:v>
                </c:pt>
                <c:pt idx="69">
                  <c:v>-0.915111292517786</c:v>
                </c:pt>
                <c:pt idx="70">
                  <c:v>-0.811875183962043</c:v>
                </c:pt>
                <c:pt idx="71">
                  <c:v>-0.720285411974106</c:v>
                </c:pt>
                <c:pt idx="72">
                  <c:v>-0.63902812273538</c:v>
                </c:pt>
                <c:pt idx="73">
                  <c:v>-0.566937681727454</c:v>
                </c:pt>
                <c:pt idx="74">
                  <c:v>-0.502979952723612</c:v>
                </c:pt>
                <c:pt idx="75">
                  <c:v>-0.446237463121153</c:v>
                </c:pt>
                <c:pt idx="76">
                  <c:v>-0.395896242811537</c:v>
                </c:pt>
                <c:pt idx="77">
                  <c:v>-0.351234147792156</c:v>
                </c:pt>
                <c:pt idx="78">
                  <c:v>-0.31161050102213</c:v>
                </c:pt>
                <c:pt idx="79">
                  <c:v>-0.276456901920376</c:v>
                </c:pt>
                <c:pt idx="80">
                  <c:v>-0.245269072668332</c:v>
                </c:pt>
                <c:pt idx="81">
                  <c:v>-0.217599624352695</c:v>
                </c:pt>
                <c:pt idx="82">
                  <c:v>-0.193051639178589</c:v>
                </c:pt>
                <c:pt idx="83">
                  <c:v>-0.17127297669013</c:v>
                </c:pt>
                <c:pt idx="84">
                  <c:v>-0.1519512223212</c:v>
                </c:pt>
                <c:pt idx="85">
                  <c:v>-0.134809205813478</c:v>
                </c:pt>
                <c:pt idx="86">
                  <c:v>-0.119601025213504</c:v>
                </c:pt>
                <c:pt idx="87">
                  <c:v>-0.106108519413079</c:v>
                </c:pt>
                <c:pt idx="88">
                  <c:v>-0.094138138631646</c:v>
                </c:pt>
                <c:pt idx="89">
                  <c:v>-0.0835181679477722</c:v>
                </c:pt>
                <c:pt idx="90">
                  <c:v>-0.074096264051342</c:v>
                </c:pt>
                <c:pt idx="91">
                  <c:v>-0.0657372698812014</c:v>
                </c:pt>
                <c:pt idx="92">
                  <c:v>-0.0583212757992707</c:v>
                </c:pt>
                <c:pt idx="93">
                  <c:v>-0.0517418994886989</c:v>
                </c:pt>
                <c:pt idx="94">
                  <c:v>-0.0459047599012246</c:v>
                </c:pt>
                <c:pt idx="95">
                  <c:v>-0.0407261233625435</c:v>
                </c:pt>
                <c:pt idx="96">
                  <c:v>-0.0361317024140859</c:v>
                </c:pt>
                <c:pt idx="97">
                  <c:v>-0.0320555901606081</c:v>
                </c:pt>
                <c:pt idx="98">
                  <c:v>-0.028439314836831</c:v>
                </c:pt>
                <c:pt idx="99">
                  <c:v>-0.0252310010308995</c:v>
                </c:pt>
                <c:pt idx="100">
                  <c:v>-0.0223846255324268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Zustandsregler!$I$13</c:f>
              <c:strCache>
                <c:ptCount val="1"/>
                <c:pt idx="0">
                  <c:v>x2(k)/fN</c:v>
                </c:pt>
              </c:strCache>
            </c:strRef>
          </c:tx>
          <c:cat>
            <c:numRef>
              <c:f>Zustandsregler!$A$14:$A$114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Zustandsregler!$I$14:$I$114</c:f>
              <c:numCache>
                <c:formatCode>0.00</c:formatCode>
                <c:ptCount val="101"/>
                <c:pt idx="1">
                  <c:v>0.174653633608883</c:v>
                </c:pt>
                <c:pt idx="2">
                  <c:v>0.335261325248513</c:v>
                </c:pt>
                <c:pt idx="3">
                  <c:v>0.477933683073814</c:v>
                </c:pt>
                <c:pt idx="4">
                  <c:v>0.604516732836937</c:v>
                </c:pt>
                <c:pt idx="5">
                  <c:v>0.716819808523219</c:v>
                </c:pt>
                <c:pt idx="6">
                  <c:v>0.816453685491385</c:v>
                </c:pt>
                <c:pt idx="7">
                  <c:v>0.904847603300441</c:v>
                </c:pt>
                <c:pt idx="8">
                  <c:v>0.983269571071021</c:v>
                </c:pt>
                <c:pt idx="9">
                  <c:v>1.052844550673137</c:v>
                </c:pt>
                <c:pt idx="10">
                  <c:v>1.11457059407952</c:v>
                </c:pt>
                <c:pt idx="11">
                  <c:v>1.169333160398552</c:v>
                </c:pt>
                <c:pt idx="12">
                  <c:v>1.217917817770845</c:v>
                </c:pt>
                <c:pt idx="13">
                  <c:v>1.261021512331681</c:v>
                </c:pt>
                <c:pt idx="14">
                  <c:v>1.299262565892212</c:v>
                </c:pt>
                <c:pt idx="15">
                  <c:v>1.333189545755976</c:v>
                </c:pt>
                <c:pt idx="16">
                  <c:v>1.363289133908127</c:v>
                </c:pt>
                <c:pt idx="17">
                  <c:v>1.389993108460742</c:v>
                </c:pt>
                <c:pt idx="18">
                  <c:v>1.413684537502963</c:v>
                </c:pt>
                <c:pt idx="19">
                  <c:v>1.43470327420662</c:v>
                </c:pt>
                <c:pt idx="20">
                  <c:v>1.453350832014565</c:v>
                </c:pt>
                <c:pt idx="21">
                  <c:v>1.469894709846204</c:v>
                </c:pt>
                <c:pt idx="22">
                  <c:v>1.484572229365224</c:v>
                </c:pt>
                <c:pt idx="23">
                  <c:v>1.497593939355081</c:v>
                </c:pt>
                <c:pt idx="24">
                  <c:v>1.509146636037937</c:v>
                </c:pt>
                <c:pt idx="25">
                  <c:v>1.51939604266349</c:v>
                </c:pt>
                <c:pt idx="26">
                  <c:v>1.528489186806348</c:v>
                </c:pt>
                <c:pt idx="27">
                  <c:v>1.536556509474243</c:v>
                </c:pt>
                <c:pt idx="28">
                  <c:v>1.543713736282206</c:v>
                </c:pt>
                <c:pt idx="29">
                  <c:v>1.550063537534669</c:v>
                </c:pt>
                <c:pt idx="30">
                  <c:v>1.555697001029346</c:v>
                </c:pt>
                <c:pt idx="31">
                  <c:v>1.560694938710237</c:v>
                </c:pt>
                <c:pt idx="32">
                  <c:v>1.565129045913678</c:v>
                </c:pt>
                <c:pt idx="33">
                  <c:v>1.569062929836797</c:v>
                </c:pt>
                <c:pt idx="34">
                  <c:v>1.572553021981744</c:v>
                </c:pt>
                <c:pt idx="35">
                  <c:v>1.575649387664683</c:v>
                </c:pt>
                <c:pt idx="36">
                  <c:v>1.578396444201963</c:v>
                </c:pt>
                <c:pt idx="37">
                  <c:v>1.580833598075807</c:v>
                </c:pt>
                <c:pt idx="38">
                  <c:v>1.582995810219673</c:v>
                </c:pt>
                <c:pt idx="39">
                  <c:v>1.584914097532286</c:v>
                </c:pt>
                <c:pt idx="40">
                  <c:v>1.586615977814557</c:v>
                </c:pt>
                <c:pt idx="41">
                  <c:v>1.588125864511997</c:v>
                </c:pt>
                <c:pt idx="42">
                  <c:v>1.589465416925205</c:v>
                </c:pt>
                <c:pt idx="43">
                  <c:v>1.590653850912188</c:v>
                </c:pt>
                <c:pt idx="44">
                  <c:v>1.591708214539538</c:v>
                </c:pt>
                <c:pt idx="45">
                  <c:v>1.592643632636678</c:v>
                </c:pt>
                <c:pt idx="46">
                  <c:v>1.593473523761294</c:v>
                </c:pt>
                <c:pt idx="47">
                  <c:v>1.594209792688336</c:v>
                </c:pt>
                <c:pt idx="48">
                  <c:v>1.594863001183822</c:v>
                </c:pt>
                <c:pt idx="49">
                  <c:v>1.595442519513203</c:v>
                </c:pt>
                <c:pt idx="50">
                  <c:v>1.595956660857675</c:v>
                </c:pt>
                <c:pt idx="51">
                  <c:v>1.596412800566624</c:v>
                </c:pt>
                <c:pt idx="52">
                  <c:v>1.596817481956903</c:v>
                </c:pt>
                <c:pt idx="53">
                  <c:v>1.5971765101766</c:v>
                </c:pt>
                <c:pt idx="54">
                  <c:v>1.597495035479804</c:v>
                </c:pt>
                <c:pt idx="55">
                  <c:v>1.59777762710691</c:v>
                </c:pt>
                <c:pt idx="56">
                  <c:v>1.598028338830302</c:v>
                </c:pt>
                <c:pt idx="57">
                  <c:v>1.598250767105654</c:v>
                </c:pt>
                <c:pt idx="58">
                  <c:v>1.59844810266303</c:v>
                </c:pt>
                <c:pt idx="59">
                  <c:v>1.598623176277854</c:v>
                </c:pt>
                <c:pt idx="60">
                  <c:v>1.598778499378338</c:v>
                </c:pt>
                <c:pt idx="61">
                  <c:v>1.424262666462999</c:v>
                </c:pt>
                <c:pt idx="62">
                  <c:v>1.263777229858725</c:v>
                </c:pt>
                <c:pt idx="63">
                  <c:v>1.121213335157123</c:v>
                </c:pt>
                <c:pt idx="64">
                  <c:v>0.994726512507825</c:v>
                </c:pt>
                <c:pt idx="65">
                  <c:v>0.882508808301905</c:v>
                </c:pt>
                <c:pt idx="66">
                  <c:v>0.782950671833163</c:v>
                </c:pt>
                <c:pt idx="67">
                  <c:v>0.69462395003885</c:v>
                </c:pt>
                <c:pt idx="68">
                  <c:v>0.616261597724092</c:v>
                </c:pt>
                <c:pt idx="69">
                  <c:v>0.546739508201639</c:v>
                </c:pt>
                <c:pt idx="70">
                  <c:v>0.485060388206111</c:v>
                </c:pt>
                <c:pt idx="71">
                  <c:v>0.430339451744705</c:v>
                </c:pt>
                <c:pt idx="72">
                  <c:v>0.381791727856453</c:v>
                </c:pt>
                <c:pt idx="73">
                  <c:v>0.338720800216314</c:v>
                </c:pt>
                <c:pt idx="74">
                  <c:v>0.30050881705409</c:v>
                </c:pt>
                <c:pt idx="75">
                  <c:v>0.266607628080643</c:v>
                </c:pt>
                <c:pt idx="76">
                  <c:v>0.23653092128073</c:v>
                </c:pt>
                <c:pt idx="77">
                  <c:v>0.209847246774906</c:v>
                </c:pt>
                <c:pt idx="78">
                  <c:v>0.186173827677877</c:v>
                </c:pt>
                <c:pt idx="79">
                  <c:v>0.16517106917019</c:v>
                </c:pt>
                <c:pt idx="80">
                  <c:v>0.146537687015958</c:v>
                </c:pt>
                <c:pt idx="81">
                  <c:v>0.130006385645304</c:v>
                </c:pt>
                <c:pt idx="82">
                  <c:v>0.115340023803672</c:v>
                </c:pt>
                <c:pt idx="83">
                  <c:v>0.102328212764309</c:v>
                </c:pt>
                <c:pt idx="84">
                  <c:v>0.0907842983053413</c:v>
                </c:pt>
                <c:pt idx="85">
                  <c:v>0.0805426831579321</c:v>
                </c:pt>
                <c:pt idx="86">
                  <c:v>0.0714564515161028</c:v>
                </c:pt>
                <c:pt idx="87">
                  <c:v>0.063395261531839</c:v>
                </c:pt>
                <c:pt idx="88">
                  <c:v>0.0562434755633589</c:v>
                </c:pt>
                <c:pt idx="89">
                  <c:v>0.0498985013549858</c:v>
                </c:pt>
                <c:pt idx="90">
                  <c:v>0.0442693203528766</c:v>
                </c:pt>
                <c:pt idx="91">
                  <c:v>0.039275182045318</c:v>
                </c:pt>
                <c:pt idx="92">
                  <c:v>0.0348444455979238</c:v>
                </c:pt>
                <c:pt idx="93">
                  <c:v>0.0309135521670079</c:v>
                </c:pt>
                <c:pt idx="94">
                  <c:v>0.0274261131489853</c:v>
                </c:pt>
                <c:pt idx="95">
                  <c:v>0.0243321012867525</c:v>
                </c:pt>
                <c:pt idx="96">
                  <c:v>0.0215871330294824</c:v>
                </c:pt>
                <c:pt idx="97">
                  <c:v>0.0191518318512953</c:v>
                </c:pt>
                <c:pt idx="98">
                  <c:v>0.0169912633956231</c:v>
                </c:pt>
                <c:pt idx="99">
                  <c:v>0.0150744343424211</c:v>
                </c:pt>
                <c:pt idx="100">
                  <c:v>0.0133738478094866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839800"/>
        <c:axId val="2071361480"/>
      </c:lineChart>
      <c:catAx>
        <c:axId val="2071839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361480"/>
        <c:crosses val="autoZero"/>
        <c:auto val="1"/>
        <c:lblAlgn val="ctr"/>
        <c:lblOffset val="100"/>
        <c:noMultiLvlLbl val="0"/>
      </c:catAx>
      <c:valAx>
        <c:axId val="2071361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839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500714545913"/>
          <c:y val="0.0712485939257592"/>
          <c:w val="0.109231279364101"/>
          <c:h val="0.27123423401862"/>
        </c:manualLayout>
      </c:layout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25178169454797"/>
          <c:y val="0.0251141552511415"/>
          <c:w val="0.835211888549518"/>
          <c:h val="0.912450652572538"/>
        </c:manualLayout>
      </c:layout>
      <c:lineChart>
        <c:grouping val="standard"/>
        <c:varyColors val="0"/>
        <c:ser>
          <c:idx val="1"/>
          <c:order val="0"/>
          <c:tx>
            <c:strRef>
              <c:f>'Zustandsregler mit Störgröße'!$E$14</c:f>
              <c:strCache>
                <c:ptCount val="1"/>
                <c:pt idx="0">
                  <c:v>u(k) - uR(k)  [V]</c:v>
                </c:pt>
              </c:strCache>
            </c:strRef>
          </c:tx>
          <c:val>
            <c:numRef>
              <c:f>'Zustandsregler mit Störgröße'!$E$15:$E$115</c:f>
              <c:numCache>
                <c:formatCode>0</c:formatCode>
                <c:ptCount val="101"/>
                <c:pt idx="0">
                  <c:v>0.0</c:v>
                </c:pt>
                <c:pt idx="1">
                  <c:v>24.0</c:v>
                </c:pt>
                <c:pt idx="2">
                  <c:v>11.61554557527769</c:v>
                </c:pt>
                <c:pt idx="3">
                  <c:v>13.51452024949796</c:v>
                </c:pt>
                <c:pt idx="4">
                  <c:v>11.07786051556374</c:v>
                </c:pt>
                <c:pt idx="5">
                  <c:v>10.58565812998135</c:v>
                </c:pt>
                <c:pt idx="6">
                  <c:v>9.756828535737628</c:v>
                </c:pt>
                <c:pt idx="7">
                  <c:v>9.29504759906733</c:v>
                </c:pt>
                <c:pt idx="8">
                  <c:v>8.894330220847345</c:v>
                </c:pt>
                <c:pt idx="9">
                  <c:v>8.613185920715848</c:v>
                </c:pt>
                <c:pt idx="10">
                  <c:v>8.396089409667846</c:v>
                </c:pt>
                <c:pt idx="11">
                  <c:v>8.235765336055143</c:v>
                </c:pt>
                <c:pt idx="12">
                  <c:v>8.114917080504002</c:v>
                </c:pt>
                <c:pt idx="13">
                  <c:v>8.024682795895426</c:v>
                </c:pt>
                <c:pt idx="14">
                  <c:v>7.95701275198553</c:v>
                </c:pt>
                <c:pt idx="15">
                  <c:v>7.906366452834813</c:v>
                </c:pt>
                <c:pt idx="16">
                  <c:v>7.868426066432161</c:v>
                </c:pt>
                <c:pt idx="17">
                  <c:v>7.840016145020765</c:v>
                </c:pt>
                <c:pt idx="18">
                  <c:v>7.818738479989832</c:v>
                </c:pt>
                <c:pt idx="19">
                  <c:v>7.802803981301714</c:v>
                </c:pt>
                <c:pt idx="20">
                  <c:v>7.790870392870537</c:v>
                </c:pt>
                <c:pt idx="21">
                  <c:v>7.781933319824545</c:v>
                </c:pt>
                <c:pt idx="22">
                  <c:v>7.775240279638734</c:v>
                </c:pt>
                <c:pt idx="23">
                  <c:v>7.770227832893045</c:v>
                </c:pt>
                <c:pt idx="24">
                  <c:v>7.766473982725291</c:v>
                </c:pt>
                <c:pt idx="25">
                  <c:v>7.763662705224653</c:v>
                </c:pt>
                <c:pt idx="26">
                  <c:v>7.761557324343854</c:v>
                </c:pt>
                <c:pt idx="27">
                  <c:v>10.14331392687492</c:v>
                </c:pt>
                <c:pt idx="28">
                  <c:v>10.70848964657026</c:v>
                </c:pt>
                <c:pt idx="29">
                  <c:v>11.55256863972102</c:v>
                </c:pt>
                <c:pt idx="30">
                  <c:v>12.03937680950895</c:v>
                </c:pt>
                <c:pt idx="31">
                  <c:v>12.45413813541666</c:v>
                </c:pt>
                <c:pt idx="32">
                  <c:v>12.74742283044811</c:v>
                </c:pt>
                <c:pt idx="33">
                  <c:v>12.97305091738306</c:v>
                </c:pt>
                <c:pt idx="34">
                  <c:v>13.1399578756509</c:v>
                </c:pt>
                <c:pt idx="35">
                  <c:v>13.26566924935477</c:v>
                </c:pt>
                <c:pt idx="36">
                  <c:v>13.35956863149993</c:v>
                </c:pt>
                <c:pt idx="37">
                  <c:v>13.42997551489221</c:v>
                </c:pt>
                <c:pt idx="38">
                  <c:v>13.48267420054724</c:v>
                </c:pt>
                <c:pt idx="39">
                  <c:v>13.5221506793665</c:v>
                </c:pt>
                <c:pt idx="40">
                  <c:v>13.55171131684953</c:v>
                </c:pt>
                <c:pt idx="41">
                  <c:v>13.57385064585722</c:v>
                </c:pt>
                <c:pt idx="42">
                  <c:v>13.59043048841927</c:v>
                </c:pt>
                <c:pt idx="43">
                  <c:v>13.60284736477356</c:v>
                </c:pt>
                <c:pt idx="44">
                  <c:v>13.61214637937541</c:v>
                </c:pt>
                <c:pt idx="45">
                  <c:v>13.619110477897</c:v>
                </c:pt>
                <c:pt idx="46">
                  <c:v>13.62432592222323</c:v>
                </c:pt>
                <c:pt idx="47">
                  <c:v>13.62823179816209</c:v>
                </c:pt>
                <c:pt idx="48">
                  <c:v>13.63115692863447</c:v>
                </c:pt>
                <c:pt idx="49">
                  <c:v>13.63334757458601</c:v>
                </c:pt>
                <c:pt idx="50">
                  <c:v>13.63498816085936</c:v>
                </c:pt>
                <c:pt idx="51">
                  <c:v>13.63621680463964</c:v>
                </c:pt>
                <c:pt idx="52">
                  <c:v>13.63713694246528</c:v>
                </c:pt>
                <c:pt idx="53">
                  <c:v>13.63782603856079</c:v>
                </c:pt>
                <c:pt idx="54">
                  <c:v>13.63834210627598</c:v>
                </c:pt>
                <c:pt idx="55">
                  <c:v>13.63872859212214</c:v>
                </c:pt>
                <c:pt idx="56">
                  <c:v>13.63901803341958</c:v>
                </c:pt>
                <c:pt idx="57">
                  <c:v>13.63923479754059</c:v>
                </c:pt>
                <c:pt idx="58">
                  <c:v>13.6393971333391</c:v>
                </c:pt>
                <c:pt idx="59">
                  <c:v>13.63951870747857</c:v>
                </c:pt>
                <c:pt idx="60">
                  <c:v>18.40627642166232</c:v>
                </c:pt>
                <c:pt idx="61">
                  <c:v>19.53905769118577</c:v>
                </c:pt>
                <c:pt idx="62">
                  <c:v>21.22903539012356</c:v>
                </c:pt>
                <c:pt idx="63">
                  <c:v>22.20401452214021</c:v>
                </c:pt>
                <c:pt idx="64">
                  <c:v>23.03455777643125</c:v>
                </c:pt>
                <c:pt idx="65">
                  <c:v>23.62189150109563</c:v>
                </c:pt>
                <c:pt idx="66">
                  <c:v>24.07372008919733</c:v>
                </c:pt>
                <c:pt idx="67">
                  <c:v>24.40796268978363</c:v>
                </c:pt>
                <c:pt idx="68">
                  <c:v>24.65970648094779</c:v>
                </c:pt>
                <c:pt idx="69">
                  <c:v>24.84774567660801</c:v>
                </c:pt>
                <c:pt idx="70">
                  <c:v>24.98873950371917</c:v>
                </c:pt>
                <c:pt idx="71">
                  <c:v>25.09427172316169</c:v>
                </c:pt>
                <c:pt idx="72">
                  <c:v>25.17332566928094</c:v>
                </c:pt>
                <c:pt idx="73">
                  <c:v>25.23252257505522</c:v>
                </c:pt>
                <c:pt idx="74">
                  <c:v>25.27685787338353</c:v>
                </c:pt>
                <c:pt idx="75">
                  <c:v>25.31005997673802</c:v>
                </c:pt>
                <c:pt idx="76">
                  <c:v>25.33492549668406</c:v>
                </c:pt>
                <c:pt idx="77">
                  <c:v>25.35354731654017</c:v>
                </c:pt>
                <c:pt idx="78">
                  <c:v>25.36749333052896</c:v>
                </c:pt>
                <c:pt idx="79">
                  <c:v>25.37793756238639</c:v>
                </c:pt>
                <c:pt idx="80">
                  <c:v>25.38575930706099</c:v>
                </c:pt>
                <c:pt idx="81">
                  <c:v>25.39161705166427</c:v>
                </c:pt>
                <c:pt idx="82">
                  <c:v>25.39600394811885</c:v>
                </c:pt>
                <c:pt idx="83">
                  <c:v>25.39928931794389</c:v>
                </c:pt>
                <c:pt idx="84">
                  <c:v>25.4017497488684</c:v>
                </c:pt>
                <c:pt idx="85">
                  <c:v>25.40359237860162</c:v>
                </c:pt>
                <c:pt idx="86">
                  <c:v>25.40497233377707</c:v>
                </c:pt>
                <c:pt idx="87">
                  <c:v>25.40600578951581</c:v>
                </c:pt>
                <c:pt idx="88">
                  <c:v>25.40677974999407</c:v>
                </c:pt>
                <c:pt idx="89">
                  <c:v>25.40735937309599</c:v>
                </c:pt>
                <c:pt idx="90">
                  <c:v>25.40779345590764</c:v>
                </c:pt>
                <c:pt idx="91">
                  <c:v>25.40811854282478</c:v>
                </c:pt>
                <c:pt idx="92">
                  <c:v>25.40836200213918</c:v>
                </c:pt>
                <c:pt idx="93">
                  <c:v>25.40854433010944</c:v>
                </c:pt>
                <c:pt idx="94">
                  <c:v>25.40868087649226</c:v>
                </c:pt>
                <c:pt idx="95">
                  <c:v>25.40878313680169</c:v>
                </c:pt>
                <c:pt idx="96">
                  <c:v>25.40885972008914</c:v>
                </c:pt>
                <c:pt idx="97">
                  <c:v>25.40891707371882</c:v>
                </c:pt>
                <c:pt idx="98">
                  <c:v>25.4089600261559</c:v>
                </c:pt>
                <c:pt idx="99">
                  <c:v>25.40899219346358</c:v>
                </c:pt>
                <c:pt idx="100">
                  <c:v>25.40901628373071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'Zustandsregler mit Störgröße'!$F$14</c:f>
              <c:strCache>
                <c:ptCount val="1"/>
                <c:pt idx="0">
                  <c:v>x1(k)  [A]</c:v>
                </c:pt>
              </c:strCache>
            </c:strRef>
          </c:tx>
          <c:val>
            <c:numRef>
              <c:f>'Zustandsregler mit Störgröße'!$F$15:$F$115</c:f>
              <c:numCache>
                <c:formatCode>0.00</c:formatCode>
                <c:ptCount val="101"/>
                <c:pt idx="1">
                  <c:v>6.896837256731212</c:v>
                </c:pt>
                <c:pt idx="2">
                  <c:v>2.783283274414989</c:v>
                </c:pt>
                <c:pt idx="3">
                  <c:v>2.906958690576611</c:v>
                </c:pt>
                <c:pt idx="4">
                  <c:v>1.892974849573123</c:v>
                </c:pt>
                <c:pt idx="5">
                  <c:v>1.515758518694173</c:v>
                </c:pt>
                <c:pt idx="6">
                  <c:v>1.101281277694999</c:v>
                </c:pt>
                <c:pt idx="7">
                  <c:v>0.836455118200084</c:v>
                </c:pt>
                <c:pt idx="8">
                  <c:v>0.622385213115531</c:v>
                </c:pt>
                <c:pt idx="9">
                  <c:v>0.467502938199542</c:v>
                </c:pt>
                <c:pt idx="10">
                  <c:v>0.349633546812138</c:v>
                </c:pt>
                <c:pt idx="11">
                  <c:v>0.262008830738288</c:v>
                </c:pt>
                <c:pt idx="12">
                  <c:v>0.196162330453712</c:v>
                </c:pt>
                <c:pt idx="13">
                  <c:v>0.146926855769312</c:v>
                </c:pt>
                <c:pt idx="14">
                  <c:v>0.110027446430119</c:v>
                </c:pt>
                <c:pt idx="15">
                  <c:v>0.0824025045658563</c:v>
                </c:pt>
                <c:pt idx="16">
                  <c:v>0.061710854736001</c:v>
                </c:pt>
                <c:pt idx="17">
                  <c:v>0.0462158683282014</c:v>
                </c:pt>
                <c:pt idx="18">
                  <c:v>0.0346112111246502</c:v>
                </c:pt>
                <c:pt idx="19">
                  <c:v>0.0259205530316206</c:v>
                </c:pt>
                <c:pt idx="20">
                  <c:v>0.0194120278510933</c:v>
                </c:pt>
                <c:pt idx="21">
                  <c:v>0.0145377745076132</c:v>
                </c:pt>
                <c:pt idx="22">
                  <c:v>0.0108874149553119</c:v>
                </c:pt>
                <c:pt idx="23">
                  <c:v>0.00815364321458565</c:v>
                </c:pt>
                <c:pt idx="24">
                  <c:v>0.00610630643162345</c:v>
                </c:pt>
                <c:pt idx="25">
                  <c:v>0.00457304529167468</c:v>
                </c:pt>
                <c:pt idx="26">
                  <c:v>0.00342477782473849</c:v>
                </c:pt>
                <c:pt idx="27">
                  <c:v>1.014429612544467</c:v>
                </c:pt>
                <c:pt idx="28">
                  <c:v>1.422133105187589</c:v>
                </c:pt>
                <c:pt idx="29">
                  <c:v>1.848143261318514</c:v>
                </c:pt>
                <c:pt idx="30">
                  <c:v>2.125508573979807</c:v>
                </c:pt>
                <c:pt idx="31">
                  <c:v>2.347621545726532</c:v>
                </c:pt>
                <c:pt idx="32">
                  <c:v>2.508992694231916</c:v>
                </c:pt>
                <c:pt idx="33">
                  <c:v>2.631560920902601</c:v>
                </c:pt>
                <c:pt idx="34">
                  <c:v>2.722760122409029</c:v>
                </c:pt>
                <c:pt idx="35">
                  <c:v>2.791264406104647</c:v>
                </c:pt>
                <c:pt idx="36">
                  <c:v>2.842496928340233</c:v>
                </c:pt>
                <c:pt idx="37">
                  <c:v>2.88088965116098</c:v>
                </c:pt>
                <c:pt idx="38">
                  <c:v>2.909633732866187</c:v>
                </c:pt>
                <c:pt idx="39">
                  <c:v>2.9311632398134</c:v>
                </c:pt>
                <c:pt idx="40">
                  <c:v>2.947285796009372</c:v>
                </c:pt>
                <c:pt idx="41">
                  <c:v>2.959360411035949</c:v>
                </c:pt>
                <c:pt idx="42">
                  <c:v>2.968403034261449</c:v>
                </c:pt>
                <c:pt idx="43">
                  <c:v>2.975175144116235</c:v>
                </c:pt>
                <c:pt idx="44">
                  <c:v>2.980246798757841</c:v>
                </c:pt>
                <c:pt idx="45">
                  <c:v>2.984044992725531</c:v>
                </c:pt>
                <c:pt idx="46">
                  <c:v>2.986889478602811</c:v>
                </c:pt>
                <c:pt idx="47">
                  <c:v>2.989019729733986</c:v>
                </c:pt>
                <c:pt idx="48">
                  <c:v>2.990615085887592</c:v>
                </c:pt>
                <c:pt idx="49">
                  <c:v>2.991809856632624</c:v>
                </c:pt>
                <c:pt idx="50">
                  <c:v>2.992704626748565</c:v>
                </c:pt>
                <c:pt idx="51">
                  <c:v>2.993374724836785</c:v>
                </c:pt>
                <c:pt idx="52">
                  <c:v>2.993876564841974</c:v>
                </c:pt>
                <c:pt idx="53">
                  <c:v>2.994252395481339</c:v>
                </c:pt>
                <c:pt idx="54">
                  <c:v>2.994533857037762</c:v>
                </c:pt>
                <c:pt idx="55">
                  <c:v>2.994744645088518</c:v>
                </c:pt>
                <c:pt idx="56">
                  <c:v>2.994902505376329</c:v>
                </c:pt>
                <c:pt idx="57">
                  <c:v>2.995020727782145</c:v>
                </c:pt>
                <c:pt idx="58">
                  <c:v>2.995109265168133</c:v>
                </c:pt>
                <c:pt idx="59">
                  <c:v>2.995175571285525</c:v>
                </c:pt>
                <c:pt idx="60">
                  <c:v>5.018954784852258</c:v>
                </c:pt>
                <c:pt idx="61">
                  <c:v>5.83568699112784</c:v>
                </c:pt>
                <c:pt idx="62">
                  <c:v>6.688699768402576</c:v>
                </c:pt>
                <c:pt idx="63">
                  <c:v>7.244173656033047</c:v>
                </c:pt>
                <c:pt idx="64">
                  <c:v>7.688956232605522</c:v>
                </c:pt>
                <c:pt idx="65">
                  <c:v>8.012115395078168</c:v>
                </c:pt>
                <c:pt idx="66">
                  <c:v>8.257564041172181</c:v>
                </c:pt>
                <c:pt idx="67">
                  <c:v>8.440196246991352</c:v>
                </c:pt>
                <c:pt idx="68">
                  <c:v>8.577379910542785</c:v>
                </c:pt>
                <c:pt idx="69">
                  <c:v>8.679976085455896</c:v>
                </c:pt>
                <c:pt idx="70">
                  <c:v>8.756859735380016</c:v>
                </c:pt>
                <c:pt idx="71">
                  <c:v>8.814421444497928</c:v>
                </c:pt>
                <c:pt idx="72">
                  <c:v>8.8575355371623</c:v>
                </c:pt>
                <c:pt idx="73">
                  <c:v>8.889821898336833</c:v>
                </c:pt>
                <c:pt idx="74">
                  <c:v>8.914002019821788</c:v>
                </c:pt>
                <c:pt idx="75">
                  <c:v>8.932110401029701</c:v>
                </c:pt>
                <c:pt idx="76">
                  <c:v>8.94567194648129</c:v>
                </c:pt>
                <c:pt idx="77">
                  <c:v>8.95582823110447</c:v>
                </c:pt>
                <c:pt idx="78">
                  <c:v>8.96343433634069</c:v>
                </c:pt>
                <c:pt idx="79">
                  <c:v>8.969130585433337</c:v>
                </c:pt>
                <c:pt idx="80">
                  <c:v>8.97339653773272</c:v>
                </c:pt>
                <c:pt idx="81">
                  <c:v>8.976591331601545</c:v>
                </c:pt>
                <c:pt idx="82">
                  <c:v>8.978983929794718</c:v>
                </c:pt>
                <c:pt idx="83">
                  <c:v>8.98077575920776</c:v>
                </c:pt>
                <c:pt idx="84">
                  <c:v>8.98211766976409</c:v>
                </c:pt>
                <c:pt idx="85">
                  <c:v>8.98312263368265</c:v>
                </c:pt>
                <c:pt idx="86">
                  <c:v>8.983875256487022</c:v>
                </c:pt>
                <c:pt idx="87">
                  <c:v>8.984438899691513</c:v>
                </c:pt>
                <c:pt idx="88">
                  <c:v>8.984861015073472</c:v>
                </c:pt>
                <c:pt idx="89">
                  <c:v>8.98517713951908</c:v>
                </c:pt>
                <c:pt idx="90">
                  <c:v>8.98541388679108</c:v>
                </c:pt>
                <c:pt idx="91">
                  <c:v>8.98559118807723</c:v>
                </c:pt>
                <c:pt idx="92">
                  <c:v>8.98572396994968</c:v>
                </c:pt>
                <c:pt idx="93">
                  <c:v>8.985823410997358</c:v>
                </c:pt>
                <c:pt idx="94">
                  <c:v>8.985897882924755</c:v>
                </c:pt>
                <c:pt idx="95">
                  <c:v>8.98595365534569</c:v>
                </c:pt>
                <c:pt idx="96">
                  <c:v>8.985995423607183</c:v>
                </c:pt>
                <c:pt idx="97">
                  <c:v>8.986026704079483</c:v>
                </c:pt>
                <c:pt idx="98">
                  <c:v>8.986050130190893</c:v>
                </c:pt>
                <c:pt idx="99">
                  <c:v>8.986067674129825</c:v>
                </c:pt>
                <c:pt idx="100">
                  <c:v>8.986080812878634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'Zustandsregler mit Störgröße'!$H$14</c:f>
              <c:strCache>
                <c:ptCount val="1"/>
                <c:pt idx="0">
                  <c:v>f(k)=x2(k)/2π </c:v>
                </c:pt>
              </c:strCache>
            </c:strRef>
          </c:tx>
          <c:val>
            <c:numRef>
              <c:f>'Zustandsregler mit Störgröße'!$H$15:$H$115</c:f>
              <c:numCache>
                <c:formatCode>0.00</c:formatCode>
                <c:ptCount val="101"/>
                <c:pt idx="1">
                  <c:v>8.732681680444141</c:v>
                </c:pt>
                <c:pt idx="2">
                  <c:v>12.25683716754782</c:v>
                </c:pt>
                <c:pt idx="3">
                  <c:v>15.93758878717322</c:v>
                </c:pt>
                <c:pt idx="4">
                  <c:v>18.33444783648238</c:v>
                </c:pt>
                <c:pt idx="5">
                  <c:v>20.25368068995575</c:v>
                </c:pt>
                <c:pt idx="6">
                  <c:v>21.64810808917516</c:v>
                </c:pt>
                <c:pt idx="7">
                  <c:v>22.70721620138856</c:v>
                </c:pt>
                <c:pt idx="8">
                  <c:v>23.49527190669736</c:v>
                </c:pt>
                <c:pt idx="9">
                  <c:v>24.08721777869607</c:v>
                </c:pt>
                <c:pt idx="10">
                  <c:v>24.52991902790057</c:v>
                </c:pt>
                <c:pt idx="11">
                  <c:v>24.86167105149222</c:v>
                </c:pt>
                <c:pt idx="12">
                  <c:v>25.11004913057107</c:v>
                </c:pt>
                <c:pt idx="13">
                  <c:v>25.29608592018644</c:v>
                </c:pt>
                <c:pt idx="14">
                  <c:v>25.43540117876363</c:v>
                </c:pt>
                <c:pt idx="15">
                  <c:v>25.5397381110789</c:v>
                </c:pt>
                <c:pt idx="16">
                  <c:v>25.61787555735714</c:v>
                </c:pt>
                <c:pt idx="17">
                  <c:v>25.67639346225647</c:v>
                </c:pt>
                <c:pt idx="18">
                  <c:v>25.72021770778745</c:v>
                </c:pt>
                <c:pt idx="19">
                  <c:v>25.75303796005385</c:v>
                </c:pt>
                <c:pt idx="20">
                  <c:v>25.7776172061177</c:v>
                </c:pt>
                <c:pt idx="21">
                  <c:v>25.79602473878684</c:v>
                </c:pt>
                <c:pt idx="22">
                  <c:v>25.80981023576009</c:v>
                </c:pt>
                <c:pt idx="23">
                  <c:v>25.82013426807786</c:v>
                </c:pt>
                <c:pt idx="24">
                  <c:v>25.82786599036239</c:v>
                </c:pt>
                <c:pt idx="25">
                  <c:v>25.83365631821208</c:v>
                </c:pt>
                <c:pt idx="26">
                  <c:v>22.04529168571029</c:v>
                </c:pt>
                <c:pt idx="27">
                  <c:v>19.53704764622099</c:v>
                </c:pt>
                <c:pt idx="28">
                  <c:v>17.54503223279979</c:v>
                </c:pt>
                <c:pt idx="29">
                  <c:v>16.0924250941638</c:v>
                </c:pt>
                <c:pt idx="30">
                  <c:v>14.99101414800052</c:v>
                </c:pt>
                <c:pt idx="31">
                  <c:v>14.17083963053049</c:v>
                </c:pt>
                <c:pt idx="32">
                  <c:v>13.55499106999526</c:v>
                </c:pt>
                <c:pt idx="33">
                  <c:v>13.09433673368316</c:v>
                </c:pt>
                <c:pt idx="34">
                  <c:v>12.74915758789974</c:v>
                </c:pt>
                <c:pt idx="35">
                  <c:v>12.49071763589341</c:v>
                </c:pt>
                <c:pt idx="36">
                  <c:v>12.29714760784143</c:v>
                </c:pt>
                <c:pt idx="37">
                  <c:v>12.15218992407985</c:v>
                </c:pt>
                <c:pt idx="38">
                  <c:v>12.04362760624971</c:v>
                </c:pt>
                <c:pt idx="39">
                  <c:v>11.96232565776109</c:v>
                </c:pt>
                <c:pt idx="40">
                  <c:v>11.90143787099524</c:v>
                </c:pt>
                <c:pt idx="41">
                  <c:v>11.85583879781155</c:v>
                </c:pt>
                <c:pt idx="42">
                  <c:v>11.82168937136376</c:v>
                </c:pt>
                <c:pt idx="43">
                  <c:v>11.79611469845377</c:v>
                </c:pt>
                <c:pt idx="44">
                  <c:v>11.77696168578161</c:v>
                </c:pt>
                <c:pt idx="45">
                  <c:v>11.76261789473462</c:v>
                </c:pt>
                <c:pt idx="46">
                  <c:v>11.75187575307941</c:v>
                </c:pt>
                <c:pt idx="47">
                  <c:v>11.74383090647922</c:v>
                </c:pt>
                <c:pt idx="48">
                  <c:v>11.73780607817696</c:v>
                </c:pt>
                <c:pt idx="49">
                  <c:v>11.73329405236794</c:v>
                </c:pt>
                <c:pt idx="50">
                  <c:v>11.7299149723294</c:v>
                </c:pt>
                <c:pt idx="51">
                  <c:v>11.72738436139072</c:v>
                </c:pt>
                <c:pt idx="52">
                  <c:v>11.725489173452</c:v>
                </c:pt>
                <c:pt idx="53">
                  <c:v>11.72406985716531</c:v>
                </c:pt>
                <c:pt idx="54">
                  <c:v>11.72300692367934</c:v>
                </c:pt>
                <c:pt idx="55">
                  <c:v>11.72221088716088</c:v>
                </c:pt>
                <c:pt idx="56">
                  <c:v>11.72161473119522</c:v>
                </c:pt>
                <c:pt idx="57">
                  <c:v>11.72116826683443</c:v>
                </c:pt>
                <c:pt idx="58">
                  <c:v>11.72083390730951</c:v>
                </c:pt>
                <c:pt idx="59">
                  <c:v>4.135181424335062</c:v>
                </c:pt>
                <c:pt idx="60">
                  <c:v>-0.887989299869558</c:v>
                </c:pt>
                <c:pt idx="61">
                  <c:v>-4.877024795116801</c:v>
                </c:pt>
                <c:pt idx="62">
                  <c:v>-7.785987095071278</c:v>
                </c:pt>
                <c:pt idx="63">
                  <c:v>-9.991615901439053</c:v>
                </c:pt>
                <c:pt idx="64">
                  <c:v>-11.63406704917434</c:v>
                </c:pt>
                <c:pt idx="65">
                  <c:v>-12.86733845365292</c:v>
                </c:pt>
                <c:pt idx="66">
                  <c:v>-13.78982611546119</c:v>
                </c:pt>
                <c:pt idx="67">
                  <c:v>-14.48106735827361</c:v>
                </c:pt>
                <c:pt idx="68">
                  <c:v>-14.9986085091515</c:v>
                </c:pt>
                <c:pt idx="69">
                  <c:v>-15.38624377653576</c:v>
                </c:pt>
                <c:pt idx="70">
                  <c:v>-15.67653001041009</c:v>
                </c:pt>
                <c:pt idx="71">
                  <c:v>-15.89393238984543</c:v>
                </c:pt>
                <c:pt idx="72">
                  <c:v>-16.05674429060713</c:v>
                </c:pt>
                <c:pt idx="73">
                  <c:v>-16.17867563927492</c:v>
                </c:pt>
                <c:pt idx="74">
                  <c:v>-16.26999044646691</c:v>
                </c:pt>
                <c:pt idx="75">
                  <c:v>-16.33837666727206</c:v>
                </c:pt>
                <c:pt idx="76">
                  <c:v>-16.38959144338233</c:v>
                </c:pt>
                <c:pt idx="77">
                  <c:v>-16.42794646981768</c:v>
                </c:pt>
                <c:pt idx="78">
                  <c:v>-16.4566707490883</c:v>
                </c:pt>
                <c:pt idx="79">
                  <c:v>-16.47818251510873</c:v>
                </c:pt>
                <c:pt idx="80">
                  <c:v>-16.4942927902562</c:v>
                </c:pt>
                <c:pt idx="81">
                  <c:v>-16.50635786078994</c:v>
                </c:pt>
                <c:pt idx="82">
                  <c:v>-16.51539345598123</c:v>
                </c:pt>
                <c:pt idx="83">
                  <c:v>-16.52216026110147</c:v>
                </c:pt>
                <c:pt idx="84">
                  <c:v>-16.52722795729744</c:v>
                </c:pt>
                <c:pt idx="85">
                  <c:v>-16.53102318182642</c:v>
                </c:pt>
                <c:pt idx="86">
                  <c:v>-16.53386544558057</c:v>
                </c:pt>
                <c:pt idx="87">
                  <c:v>-16.53599403196306</c:v>
                </c:pt>
                <c:pt idx="88">
                  <c:v>-16.53758814158093</c:v>
                </c:pt>
                <c:pt idx="89">
                  <c:v>-16.53878197871851</c:v>
                </c:pt>
                <c:pt idx="90">
                  <c:v>-16.53967604967514</c:v>
                </c:pt>
                <c:pt idx="91">
                  <c:v>-16.54034562415088</c:v>
                </c:pt>
                <c:pt idx="92">
                  <c:v>-16.54084707202279</c:v>
                </c:pt>
                <c:pt idx="93">
                  <c:v>-16.54122260899048</c:v>
                </c:pt>
                <c:pt idx="94">
                  <c:v>-16.54150385061496</c:v>
                </c:pt>
                <c:pt idx="95">
                  <c:v>-16.54171447395741</c:v>
                </c:pt>
                <c:pt idx="96">
                  <c:v>-16.54187221089434</c:v>
                </c:pt>
                <c:pt idx="97">
                  <c:v>-16.541990340922</c:v>
                </c:pt>
                <c:pt idx="98">
                  <c:v>-16.54207880912551</c:v>
                </c:pt>
                <c:pt idx="99">
                  <c:v>-16.54214506343178</c:v>
                </c:pt>
                <c:pt idx="100">
                  <c:v>-16.54219468163272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945160"/>
        <c:axId val="2071934408"/>
      </c:lineChart>
      <c:catAx>
        <c:axId val="2071945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934408"/>
        <c:crosses val="autoZero"/>
        <c:auto val="1"/>
        <c:lblAlgn val="ctr"/>
        <c:lblOffset val="100"/>
        <c:noMultiLvlLbl val="0"/>
      </c:catAx>
      <c:valAx>
        <c:axId val="20719344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71945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30278999822531"/>
          <c:y val="0.0190350142402412"/>
          <c:w val="0.835211888549518"/>
          <c:h val="0.912450652572538"/>
        </c:manualLayout>
      </c:layout>
      <c:lineChart>
        <c:grouping val="standard"/>
        <c:varyColors val="0"/>
        <c:ser>
          <c:idx val="3"/>
          <c:order val="0"/>
          <c:tx>
            <c:strRef>
              <c:f>'Zustandsregler mit Störgröße'!$I$14</c:f>
              <c:strCache>
                <c:ptCount val="1"/>
                <c:pt idx="0">
                  <c:v>u(k)/uN</c:v>
                </c:pt>
              </c:strCache>
            </c:strRef>
          </c:tx>
          <c:cat>
            <c:numRef>
              <c:f>'Zustandsregler mit Störgröße'!$A$15:$A$115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'Zustandsregler mit Störgröße'!$I$15:$I$115</c:f>
              <c:numCache>
                <c:formatCode>General</c:formatCode>
                <c:ptCount val="101"/>
                <c:pt idx="0">
                  <c:v>0.0</c:v>
                </c:pt>
                <c:pt idx="1">
                  <c:v>1.0</c:v>
                </c:pt>
                <c:pt idx="2" formatCode="0.000">
                  <c:v>0.48398106563657</c:v>
                </c:pt>
                <c:pt idx="3" formatCode="0.000">
                  <c:v>0.563105010395748</c:v>
                </c:pt>
                <c:pt idx="4" formatCode="0.000">
                  <c:v>0.461577521481822</c:v>
                </c:pt>
                <c:pt idx="5" formatCode="0.000">
                  <c:v>0.441069088749223</c:v>
                </c:pt>
                <c:pt idx="6" formatCode="0.000">
                  <c:v>0.406534522322401</c:v>
                </c:pt>
                <c:pt idx="7" formatCode="0.000">
                  <c:v>0.387293649961139</c:v>
                </c:pt>
                <c:pt idx="8" formatCode="0.000">
                  <c:v>0.370597092535306</c:v>
                </c:pt>
                <c:pt idx="9" formatCode="0.000">
                  <c:v>0.358882746696494</c:v>
                </c:pt>
                <c:pt idx="10" formatCode="0.000">
                  <c:v>0.34983705873616</c:v>
                </c:pt>
                <c:pt idx="11" formatCode="0.000">
                  <c:v>0.343156889002298</c:v>
                </c:pt>
                <c:pt idx="12" formatCode="0.000">
                  <c:v>0.338121545021</c:v>
                </c:pt>
                <c:pt idx="13" formatCode="0.000">
                  <c:v>0.334361783162309</c:v>
                </c:pt>
                <c:pt idx="14" formatCode="0.000">
                  <c:v>0.331542197999397</c:v>
                </c:pt>
                <c:pt idx="15" formatCode="0.000">
                  <c:v>0.329431935534784</c:v>
                </c:pt>
                <c:pt idx="16" formatCode="0.000">
                  <c:v>0.32785108610134</c:v>
                </c:pt>
                <c:pt idx="17" formatCode="0.000">
                  <c:v>0.326667339375865</c:v>
                </c:pt>
                <c:pt idx="18" formatCode="0.000">
                  <c:v>0.325780769999576</c:v>
                </c:pt>
                <c:pt idx="19" formatCode="0.000">
                  <c:v>0.325116832554238</c:v>
                </c:pt>
                <c:pt idx="20" formatCode="0.000">
                  <c:v>0.324619599702939</c:v>
                </c:pt>
                <c:pt idx="21" formatCode="0.000">
                  <c:v>0.324247221659356</c:v>
                </c:pt>
                <c:pt idx="22" formatCode="0.000">
                  <c:v>0.323968344984947</c:v>
                </c:pt>
                <c:pt idx="23" formatCode="0.000">
                  <c:v>0.32375949303721</c:v>
                </c:pt>
                <c:pt idx="24" formatCode="0.000">
                  <c:v>0.323603082613554</c:v>
                </c:pt>
                <c:pt idx="25" formatCode="0.000">
                  <c:v>0.323485946051027</c:v>
                </c:pt>
                <c:pt idx="26" formatCode="0.000">
                  <c:v>0.323398221847661</c:v>
                </c:pt>
                <c:pt idx="27" formatCode="0.000">
                  <c:v>0.422638080286455</c:v>
                </c:pt>
                <c:pt idx="28" formatCode="0.000">
                  <c:v>0.446187068607094</c:v>
                </c:pt>
                <c:pt idx="29" formatCode="0.000">
                  <c:v>0.481357026655043</c:v>
                </c:pt>
                <c:pt idx="30" formatCode="0.000">
                  <c:v>0.501640700396206</c:v>
                </c:pt>
                <c:pt idx="31" formatCode="0.000">
                  <c:v>0.518922422309028</c:v>
                </c:pt>
                <c:pt idx="32" formatCode="0.000">
                  <c:v>0.531142617935338</c:v>
                </c:pt>
                <c:pt idx="33" formatCode="0.000">
                  <c:v>0.540543788224294</c:v>
                </c:pt>
                <c:pt idx="34" formatCode="0.000">
                  <c:v>0.547498244818788</c:v>
                </c:pt>
                <c:pt idx="35" formatCode="0.000">
                  <c:v>0.552736218723116</c:v>
                </c:pt>
                <c:pt idx="36" formatCode="0.000">
                  <c:v>0.556648692979164</c:v>
                </c:pt>
                <c:pt idx="37" formatCode="0.000">
                  <c:v>0.559582313120509</c:v>
                </c:pt>
                <c:pt idx="38" formatCode="0.000">
                  <c:v>0.561778091689468</c:v>
                </c:pt>
                <c:pt idx="39" formatCode="0.000">
                  <c:v>0.563422944973604</c:v>
                </c:pt>
                <c:pt idx="40" formatCode="0.000">
                  <c:v>0.564654638202064</c:v>
                </c:pt>
                <c:pt idx="41" formatCode="0.000">
                  <c:v>0.565577110244051</c:v>
                </c:pt>
                <c:pt idx="42" formatCode="0.000">
                  <c:v>0.56626793701747</c:v>
                </c:pt>
                <c:pt idx="43" formatCode="0.000">
                  <c:v>0.566785306865565</c:v>
                </c:pt>
                <c:pt idx="44" formatCode="0.000">
                  <c:v>0.567172765807309</c:v>
                </c:pt>
                <c:pt idx="45" formatCode="0.000">
                  <c:v>0.567462936579041</c:v>
                </c:pt>
                <c:pt idx="46" formatCode="0.000">
                  <c:v>0.567680246759301</c:v>
                </c:pt>
                <c:pt idx="47" formatCode="0.000">
                  <c:v>0.567842991590087</c:v>
                </c:pt>
                <c:pt idx="48" formatCode="0.000">
                  <c:v>0.567964872026436</c:v>
                </c:pt>
                <c:pt idx="49" formatCode="0.000">
                  <c:v>0.568056148941084</c:v>
                </c:pt>
                <c:pt idx="50" formatCode="0.000">
                  <c:v>0.568124506702473</c:v>
                </c:pt>
                <c:pt idx="51" formatCode="0.000">
                  <c:v>0.568175700193318</c:v>
                </c:pt>
                <c:pt idx="52" formatCode="0.000">
                  <c:v>0.568214039269387</c:v>
                </c:pt>
                <c:pt idx="53" formatCode="0.000">
                  <c:v>0.5682427516067</c:v>
                </c:pt>
                <c:pt idx="54" formatCode="0.000">
                  <c:v>0.568264254428166</c:v>
                </c:pt>
                <c:pt idx="55" formatCode="0.000">
                  <c:v>0.568280358005089</c:v>
                </c:pt>
                <c:pt idx="56" formatCode="0.000">
                  <c:v>0.568292418059149</c:v>
                </c:pt>
                <c:pt idx="57" formatCode="0.000">
                  <c:v>0.568301449897525</c:v>
                </c:pt>
                <c:pt idx="58" formatCode="0.000">
                  <c:v>0.568308213889129</c:v>
                </c:pt>
                <c:pt idx="59" formatCode="0.000">
                  <c:v>0.568313279478274</c:v>
                </c:pt>
                <c:pt idx="60" formatCode="0.000">
                  <c:v>0.76692818423593</c:v>
                </c:pt>
                <c:pt idx="61" formatCode="0.000">
                  <c:v>0.814127403799407</c:v>
                </c:pt>
                <c:pt idx="62" formatCode="0.000">
                  <c:v>0.884543141255148</c:v>
                </c:pt>
                <c:pt idx="63" formatCode="0.000">
                  <c:v>0.925167271755842</c:v>
                </c:pt>
                <c:pt idx="64" formatCode="0.000">
                  <c:v>0.959773240684636</c:v>
                </c:pt>
                <c:pt idx="65" formatCode="0.000">
                  <c:v>0.984245479212318</c:v>
                </c:pt>
                <c:pt idx="66" formatCode="0.000">
                  <c:v>1.003071670383222</c:v>
                </c:pt>
                <c:pt idx="67" formatCode="0.000">
                  <c:v>1.016998445407651</c:v>
                </c:pt>
                <c:pt idx="68" formatCode="0.000">
                  <c:v>1.027487770039491</c:v>
                </c:pt>
                <c:pt idx="69" formatCode="0.000">
                  <c:v>1.035322736525334</c:v>
                </c:pt>
                <c:pt idx="70" formatCode="0.000">
                  <c:v>1.041197479321632</c:v>
                </c:pt>
                <c:pt idx="71" formatCode="0.000">
                  <c:v>1.045594655131737</c:v>
                </c:pt>
                <c:pt idx="72" formatCode="0.000">
                  <c:v>1.048888569553372</c:v>
                </c:pt>
                <c:pt idx="73" formatCode="0.000">
                  <c:v>1.051355107293968</c:v>
                </c:pt>
                <c:pt idx="74" formatCode="0.000">
                  <c:v>1.05320241139098</c:v>
                </c:pt>
                <c:pt idx="75" formatCode="0.000">
                  <c:v>1.054585832364084</c:v>
                </c:pt>
                <c:pt idx="76" formatCode="0.000">
                  <c:v>1.055621895695169</c:v>
                </c:pt>
                <c:pt idx="77" formatCode="0.000">
                  <c:v>1.05639780485584</c:v>
                </c:pt>
                <c:pt idx="78" formatCode="0.000">
                  <c:v>1.05697888877204</c:v>
                </c:pt>
                <c:pt idx="79" formatCode="0.000">
                  <c:v>1.057414065099433</c:v>
                </c:pt>
                <c:pt idx="80" formatCode="0.000">
                  <c:v>1.057739971127541</c:v>
                </c:pt>
                <c:pt idx="81" formatCode="0.000">
                  <c:v>1.057984043819345</c:v>
                </c:pt>
                <c:pt idx="82" formatCode="0.000">
                  <c:v>1.058166831171619</c:v>
                </c:pt>
                <c:pt idx="83" formatCode="0.000">
                  <c:v>1.058303721580995</c:v>
                </c:pt>
                <c:pt idx="84" formatCode="0.000">
                  <c:v>1.058406239536184</c:v>
                </c:pt>
                <c:pt idx="85" formatCode="0.000">
                  <c:v>1.058483015775068</c:v>
                </c:pt>
                <c:pt idx="86" formatCode="0.000">
                  <c:v>1.058540513907378</c:v>
                </c:pt>
                <c:pt idx="87" formatCode="0.000">
                  <c:v>1.058583574563159</c:v>
                </c:pt>
                <c:pt idx="88" formatCode="0.000">
                  <c:v>1.05861582291642</c:v>
                </c:pt>
                <c:pt idx="89" formatCode="0.000">
                  <c:v>1.058639973878999</c:v>
                </c:pt>
                <c:pt idx="90" formatCode="0.000">
                  <c:v>1.058658060662818</c:v>
                </c:pt>
                <c:pt idx="91" formatCode="0.000">
                  <c:v>1.058671605951033</c:v>
                </c:pt>
                <c:pt idx="92" formatCode="0.000">
                  <c:v>1.058681750089133</c:v>
                </c:pt>
                <c:pt idx="93" formatCode="0.000">
                  <c:v>1.058689347087894</c:v>
                </c:pt>
                <c:pt idx="94" formatCode="0.000">
                  <c:v>1.058695036520511</c:v>
                </c:pt>
                <c:pt idx="95" formatCode="0.000">
                  <c:v>1.058699297366737</c:v>
                </c:pt>
                <c:pt idx="96" formatCode="0.000">
                  <c:v>1.058702488337048</c:v>
                </c:pt>
                <c:pt idx="97" formatCode="0.000">
                  <c:v>1.058704878071617</c:v>
                </c:pt>
                <c:pt idx="98" formatCode="0.000">
                  <c:v>1.058706667756496</c:v>
                </c:pt>
                <c:pt idx="99" formatCode="0.000">
                  <c:v>1.058708008060983</c:v>
                </c:pt>
                <c:pt idx="100" formatCode="0.000">
                  <c:v>1.058709011822113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'Zustandsregler mit Störgröße'!$J$14</c:f>
              <c:strCache>
                <c:ptCount val="1"/>
                <c:pt idx="0">
                  <c:v>x1(k)/IN</c:v>
                </c:pt>
              </c:strCache>
            </c:strRef>
          </c:tx>
          <c:cat>
            <c:numRef>
              <c:f>'Zustandsregler mit Störgröße'!$A$15:$A$115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'Zustandsregler mit Störgröße'!$J$15:$J$115</c:f>
              <c:numCache>
                <c:formatCode>0.00</c:formatCode>
                <c:ptCount val="101"/>
                <c:pt idx="0">
                  <c:v>0.0</c:v>
                </c:pt>
                <c:pt idx="1">
                  <c:v>2.298945752243737</c:v>
                </c:pt>
                <c:pt idx="2">
                  <c:v>0.927761091471663</c:v>
                </c:pt>
                <c:pt idx="3">
                  <c:v>0.968986230192204</c:v>
                </c:pt>
                <c:pt idx="4">
                  <c:v>0.630991616524374</c:v>
                </c:pt>
                <c:pt idx="5">
                  <c:v>0.505252839564724</c:v>
                </c:pt>
                <c:pt idx="6">
                  <c:v>0.367093759231666</c:v>
                </c:pt>
                <c:pt idx="7">
                  <c:v>0.278818372733361</c:v>
                </c:pt>
                <c:pt idx="8">
                  <c:v>0.207461737705177</c:v>
                </c:pt>
                <c:pt idx="9">
                  <c:v>0.155834312733181</c:v>
                </c:pt>
                <c:pt idx="10">
                  <c:v>0.116544515604046</c:v>
                </c:pt>
                <c:pt idx="11">
                  <c:v>0.0873362769127625</c:v>
                </c:pt>
                <c:pt idx="12">
                  <c:v>0.0653874434845706</c:v>
                </c:pt>
                <c:pt idx="13">
                  <c:v>0.0489756185897705</c:v>
                </c:pt>
                <c:pt idx="14">
                  <c:v>0.0366758154767064</c:v>
                </c:pt>
                <c:pt idx="15">
                  <c:v>0.0274675015219521</c:v>
                </c:pt>
                <c:pt idx="16">
                  <c:v>0.0205702849120003</c:v>
                </c:pt>
                <c:pt idx="17">
                  <c:v>0.0154052894427338</c:v>
                </c:pt>
                <c:pt idx="18">
                  <c:v>0.0115370703748834</c:v>
                </c:pt>
                <c:pt idx="19">
                  <c:v>0.00864018434387354</c:v>
                </c:pt>
                <c:pt idx="20">
                  <c:v>0.00647067595036445</c:v>
                </c:pt>
                <c:pt idx="21">
                  <c:v>0.00484592483587105</c:v>
                </c:pt>
                <c:pt idx="22">
                  <c:v>0.00362913831843729</c:v>
                </c:pt>
                <c:pt idx="23">
                  <c:v>0.00271788107152855</c:v>
                </c:pt>
                <c:pt idx="24">
                  <c:v>0.00203543547720782</c:v>
                </c:pt>
                <c:pt idx="25">
                  <c:v>0.00152434843055823</c:v>
                </c:pt>
                <c:pt idx="26">
                  <c:v>0.00114159260824616</c:v>
                </c:pt>
                <c:pt idx="27">
                  <c:v>0.338143204181489</c:v>
                </c:pt>
                <c:pt idx="28">
                  <c:v>0.474044368395863</c:v>
                </c:pt>
                <c:pt idx="29">
                  <c:v>0.616047753772838</c:v>
                </c:pt>
                <c:pt idx="30">
                  <c:v>0.708502857993269</c:v>
                </c:pt>
                <c:pt idx="31">
                  <c:v>0.782540515242177</c:v>
                </c:pt>
                <c:pt idx="32">
                  <c:v>0.836330898077305</c:v>
                </c:pt>
                <c:pt idx="33">
                  <c:v>0.8771869736342</c:v>
                </c:pt>
                <c:pt idx="34">
                  <c:v>0.907586707469676</c:v>
                </c:pt>
                <c:pt idx="35">
                  <c:v>0.930421468701549</c:v>
                </c:pt>
                <c:pt idx="36">
                  <c:v>0.947498976113411</c:v>
                </c:pt>
                <c:pt idx="37">
                  <c:v>0.960296550386993</c:v>
                </c:pt>
                <c:pt idx="38">
                  <c:v>0.969877910955396</c:v>
                </c:pt>
                <c:pt idx="39">
                  <c:v>0.977054413271133</c:v>
                </c:pt>
                <c:pt idx="40">
                  <c:v>0.982428598669791</c:v>
                </c:pt>
                <c:pt idx="41">
                  <c:v>0.986453470345316</c:v>
                </c:pt>
                <c:pt idx="42">
                  <c:v>0.989467678087149</c:v>
                </c:pt>
                <c:pt idx="43">
                  <c:v>0.991725048038745</c:v>
                </c:pt>
                <c:pt idx="44">
                  <c:v>0.993415599585947</c:v>
                </c:pt>
                <c:pt idx="45">
                  <c:v>0.994681664241844</c:v>
                </c:pt>
                <c:pt idx="46">
                  <c:v>0.995629826200937</c:v>
                </c:pt>
                <c:pt idx="47">
                  <c:v>0.996339909911329</c:v>
                </c:pt>
                <c:pt idx="48">
                  <c:v>0.996871695295864</c:v>
                </c:pt>
                <c:pt idx="49">
                  <c:v>0.997269952210875</c:v>
                </c:pt>
                <c:pt idx="50">
                  <c:v>0.997568208916188</c:v>
                </c:pt>
                <c:pt idx="51">
                  <c:v>0.997791574945595</c:v>
                </c:pt>
                <c:pt idx="52">
                  <c:v>0.997958854947325</c:v>
                </c:pt>
                <c:pt idx="53">
                  <c:v>0.998084131827113</c:v>
                </c:pt>
                <c:pt idx="54">
                  <c:v>0.998177952345921</c:v>
                </c:pt>
                <c:pt idx="55">
                  <c:v>0.998248215029506</c:v>
                </c:pt>
                <c:pt idx="56">
                  <c:v>0.998300835125443</c:v>
                </c:pt>
                <c:pt idx="57">
                  <c:v>0.998340242594048</c:v>
                </c:pt>
                <c:pt idx="58">
                  <c:v>0.998369755056044</c:v>
                </c:pt>
                <c:pt idx="59">
                  <c:v>0.998391857095175</c:v>
                </c:pt>
                <c:pt idx="60">
                  <c:v>1.672984928284086</c:v>
                </c:pt>
                <c:pt idx="61">
                  <c:v>1.945228997042613</c:v>
                </c:pt>
                <c:pt idx="62">
                  <c:v>2.229566589467526</c:v>
                </c:pt>
                <c:pt idx="63">
                  <c:v>2.414724552011015</c:v>
                </c:pt>
                <c:pt idx="64">
                  <c:v>2.562985410868507</c:v>
                </c:pt>
                <c:pt idx="65">
                  <c:v>2.670705131692723</c:v>
                </c:pt>
                <c:pt idx="66">
                  <c:v>2.752521347057393</c:v>
                </c:pt>
                <c:pt idx="67">
                  <c:v>2.813398748997117</c:v>
                </c:pt>
                <c:pt idx="68">
                  <c:v>2.859126636847595</c:v>
                </c:pt>
                <c:pt idx="69">
                  <c:v>2.893325361818632</c:v>
                </c:pt>
                <c:pt idx="70">
                  <c:v>2.918953245126672</c:v>
                </c:pt>
                <c:pt idx="71">
                  <c:v>2.938140481499309</c:v>
                </c:pt>
                <c:pt idx="72">
                  <c:v>2.952511845720767</c:v>
                </c:pt>
                <c:pt idx="73">
                  <c:v>2.963273966112278</c:v>
                </c:pt>
                <c:pt idx="74">
                  <c:v>2.971334006607263</c:v>
                </c:pt>
                <c:pt idx="75">
                  <c:v>2.977370133676567</c:v>
                </c:pt>
                <c:pt idx="76">
                  <c:v>2.981890648827096</c:v>
                </c:pt>
                <c:pt idx="77">
                  <c:v>2.985276077034824</c:v>
                </c:pt>
                <c:pt idx="78">
                  <c:v>2.987811445446898</c:v>
                </c:pt>
                <c:pt idx="79">
                  <c:v>2.989710195144446</c:v>
                </c:pt>
                <c:pt idx="80">
                  <c:v>2.991132179244241</c:v>
                </c:pt>
                <c:pt idx="81">
                  <c:v>2.992197110533848</c:v>
                </c:pt>
                <c:pt idx="82">
                  <c:v>2.992994643264906</c:v>
                </c:pt>
                <c:pt idx="83">
                  <c:v>2.99359191973592</c:v>
                </c:pt>
                <c:pt idx="84">
                  <c:v>2.994039223254697</c:v>
                </c:pt>
                <c:pt idx="85">
                  <c:v>2.99437421122755</c:v>
                </c:pt>
                <c:pt idx="86">
                  <c:v>2.994625085495674</c:v>
                </c:pt>
                <c:pt idx="87">
                  <c:v>2.994812966563838</c:v>
                </c:pt>
                <c:pt idx="88">
                  <c:v>2.994953671691157</c:v>
                </c:pt>
                <c:pt idx="89">
                  <c:v>2.99505904650636</c:v>
                </c:pt>
                <c:pt idx="90">
                  <c:v>2.995137962263693</c:v>
                </c:pt>
                <c:pt idx="91">
                  <c:v>2.99519706269241</c:v>
                </c:pt>
                <c:pt idx="92">
                  <c:v>2.99524132331656</c:v>
                </c:pt>
                <c:pt idx="93">
                  <c:v>2.995274470332453</c:v>
                </c:pt>
                <c:pt idx="94">
                  <c:v>2.995299294308252</c:v>
                </c:pt>
                <c:pt idx="95">
                  <c:v>2.995317885115231</c:v>
                </c:pt>
                <c:pt idx="96">
                  <c:v>2.995331807869061</c:v>
                </c:pt>
                <c:pt idx="97">
                  <c:v>2.995342234693161</c:v>
                </c:pt>
                <c:pt idx="98">
                  <c:v>2.995350043396964</c:v>
                </c:pt>
                <c:pt idx="99">
                  <c:v>2.995355891376608</c:v>
                </c:pt>
                <c:pt idx="100">
                  <c:v>2.995360270959545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'Zustandsregler mit Störgröße'!$K$14</c:f>
              <c:strCache>
                <c:ptCount val="1"/>
                <c:pt idx="0">
                  <c:v>x2(k)/fN</c:v>
                </c:pt>
              </c:strCache>
            </c:strRef>
          </c:tx>
          <c:cat>
            <c:numRef>
              <c:f>'Zustandsregler mit Störgröße'!$A$15:$A$115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'Zustandsregler mit Störgröße'!$K$15:$K$115</c:f>
              <c:numCache>
                <c:formatCode>0.00</c:formatCode>
                <c:ptCount val="101"/>
                <c:pt idx="0">
                  <c:v>0.0</c:v>
                </c:pt>
                <c:pt idx="1">
                  <c:v>0.174653633608883</c:v>
                </c:pt>
                <c:pt idx="2">
                  <c:v>0.245136743350956</c:v>
                </c:pt>
                <c:pt idx="3">
                  <c:v>0.318751775743464</c:v>
                </c:pt>
                <c:pt idx="4">
                  <c:v>0.366688956729647</c:v>
                </c:pt>
                <c:pt idx="5">
                  <c:v>0.405073613799115</c:v>
                </c:pt>
                <c:pt idx="6">
                  <c:v>0.432962161783503</c:v>
                </c:pt>
                <c:pt idx="7">
                  <c:v>0.454144324027771</c:v>
                </c:pt>
                <c:pt idx="8">
                  <c:v>0.469905438133947</c:v>
                </c:pt>
                <c:pt idx="9">
                  <c:v>0.481744355573921</c:v>
                </c:pt>
                <c:pt idx="10">
                  <c:v>0.490598380558011</c:v>
                </c:pt>
                <c:pt idx="11">
                  <c:v>0.497233421029844</c:v>
                </c:pt>
                <c:pt idx="12">
                  <c:v>0.502200982611421</c:v>
                </c:pt>
                <c:pt idx="13">
                  <c:v>0.505921718403729</c:v>
                </c:pt>
                <c:pt idx="14">
                  <c:v>0.508708023575273</c:v>
                </c:pt>
                <c:pt idx="15">
                  <c:v>0.510794762221578</c:v>
                </c:pt>
                <c:pt idx="16">
                  <c:v>0.512357511147143</c:v>
                </c:pt>
                <c:pt idx="17">
                  <c:v>0.513527869245129</c:v>
                </c:pt>
                <c:pt idx="18">
                  <c:v>0.514404354155749</c:v>
                </c:pt>
                <c:pt idx="19">
                  <c:v>0.515060759201077</c:v>
                </c:pt>
                <c:pt idx="20">
                  <c:v>0.515552344122354</c:v>
                </c:pt>
                <c:pt idx="21">
                  <c:v>0.515920494775737</c:v>
                </c:pt>
                <c:pt idx="22">
                  <c:v>0.516196204715202</c:v>
                </c:pt>
                <c:pt idx="23">
                  <c:v>0.516402685361557</c:v>
                </c:pt>
                <c:pt idx="24">
                  <c:v>0.516557319807248</c:v>
                </c:pt>
                <c:pt idx="25">
                  <c:v>0.516673126364242</c:v>
                </c:pt>
                <c:pt idx="26">
                  <c:v>0.440905833714206</c:v>
                </c:pt>
                <c:pt idx="27">
                  <c:v>0.39074095292442</c:v>
                </c:pt>
                <c:pt idx="28">
                  <c:v>0.350900644655996</c:v>
                </c:pt>
                <c:pt idx="29">
                  <c:v>0.321848501883276</c:v>
                </c:pt>
                <c:pt idx="30">
                  <c:v>0.29982028296001</c:v>
                </c:pt>
                <c:pt idx="31">
                  <c:v>0.28341679261061</c:v>
                </c:pt>
                <c:pt idx="32">
                  <c:v>0.271099821399905</c:v>
                </c:pt>
                <c:pt idx="33">
                  <c:v>0.261886734673663</c:v>
                </c:pt>
                <c:pt idx="34">
                  <c:v>0.254983151757995</c:v>
                </c:pt>
                <c:pt idx="35">
                  <c:v>0.249814352717868</c:v>
                </c:pt>
                <c:pt idx="36">
                  <c:v>0.245942952156829</c:v>
                </c:pt>
                <c:pt idx="37">
                  <c:v>0.243043798481597</c:v>
                </c:pt>
                <c:pt idx="38">
                  <c:v>0.240872552124994</c:v>
                </c:pt>
                <c:pt idx="39">
                  <c:v>0.239246513155222</c:v>
                </c:pt>
                <c:pt idx="40">
                  <c:v>0.238028757419905</c:v>
                </c:pt>
                <c:pt idx="41">
                  <c:v>0.237116775956231</c:v>
                </c:pt>
                <c:pt idx="42">
                  <c:v>0.236433787427275</c:v>
                </c:pt>
                <c:pt idx="43">
                  <c:v>0.235922293969075</c:v>
                </c:pt>
                <c:pt idx="44">
                  <c:v>0.235539233715632</c:v>
                </c:pt>
                <c:pt idx="45">
                  <c:v>0.235252357894692</c:v>
                </c:pt>
                <c:pt idx="46">
                  <c:v>0.235037515061588</c:v>
                </c:pt>
                <c:pt idx="47">
                  <c:v>0.234876618129584</c:v>
                </c:pt>
                <c:pt idx="48">
                  <c:v>0.234756121563539</c:v>
                </c:pt>
                <c:pt idx="49">
                  <c:v>0.234665881047359</c:v>
                </c:pt>
                <c:pt idx="50">
                  <c:v>0.234598299446588</c:v>
                </c:pt>
                <c:pt idx="51">
                  <c:v>0.234547687227814</c:v>
                </c:pt>
                <c:pt idx="52">
                  <c:v>0.23450978346904</c:v>
                </c:pt>
                <c:pt idx="53">
                  <c:v>0.234481397143306</c:v>
                </c:pt>
                <c:pt idx="54">
                  <c:v>0.234460138473587</c:v>
                </c:pt>
                <c:pt idx="55">
                  <c:v>0.234444217743218</c:v>
                </c:pt>
                <c:pt idx="56">
                  <c:v>0.234432294623904</c:v>
                </c:pt>
                <c:pt idx="57">
                  <c:v>0.234423365336689</c:v>
                </c:pt>
                <c:pt idx="58">
                  <c:v>0.23441667814619</c:v>
                </c:pt>
                <c:pt idx="59">
                  <c:v>0.0827036284867012</c:v>
                </c:pt>
                <c:pt idx="60">
                  <c:v>-0.0177597859973912</c:v>
                </c:pt>
                <c:pt idx="61">
                  <c:v>-0.097540495902336</c:v>
                </c:pt>
                <c:pt idx="62">
                  <c:v>-0.155719741901426</c:v>
                </c:pt>
                <c:pt idx="63">
                  <c:v>-0.199832318028781</c:v>
                </c:pt>
                <c:pt idx="64">
                  <c:v>-0.232681340983487</c:v>
                </c:pt>
                <c:pt idx="65">
                  <c:v>-0.257346769073058</c:v>
                </c:pt>
                <c:pt idx="66">
                  <c:v>-0.275796522309224</c:v>
                </c:pt>
                <c:pt idx="67">
                  <c:v>-0.289621347165472</c:v>
                </c:pt>
                <c:pt idx="68">
                  <c:v>-0.29997217018303</c:v>
                </c:pt>
                <c:pt idx="69">
                  <c:v>-0.307724875530715</c:v>
                </c:pt>
                <c:pt idx="70">
                  <c:v>-0.313530600208202</c:v>
                </c:pt>
                <c:pt idx="71">
                  <c:v>-0.317878647796909</c:v>
                </c:pt>
                <c:pt idx="72">
                  <c:v>-0.321134885812143</c:v>
                </c:pt>
                <c:pt idx="73">
                  <c:v>-0.323573512785498</c:v>
                </c:pt>
                <c:pt idx="74">
                  <c:v>-0.325399808929338</c:v>
                </c:pt>
                <c:pt idx="75">
                  <c:v>-0.326767533345441</c:v>
                </c:pt>
                <c:pt idx="76">
                  <c:v>-0.327791828867647</c:v>
                </c:pt>
                <c:pt idx="77">
                  <c:v>-0.328558929396354</c:v>
                </c:pt>
                <c:pt idx="78">
                  <c:v>-0.329133414981766</c:v>
                </c:pt>
                <c:pt idx="79">
                  <c:v>-0.329563650302174</c:v>
                </c:pt>
                <c:pt idx="80">
                  <c:v>-0.329885855805124</c:v>
                </c:pt>
                <c:pt idx="81">
                  <c:v>-0.330127157215799</c:v>
                </c:pt>
                <c:pt idx="82">
                  <c:v>-0.330307869119625</c:v>
                </c:pt>
                <c:pt idx="83">
                  <c:v>-0.330443205222029</c:v>
                </c:pt>
                <c:pt idx="84">
                  <c:v>-0.330544559145949</c:v>
                </c:pt>
                <c:pt idx="85">
                  <c:v>-0.330620463636528</c:v>
                </c:pt>
                <c:pt idx="86">
                  <c:v>-0.330677308911611</c:v>
                </c:pt>
                <c:pt idx="87">
                  <c:v>-0.330719880639261</c:v>
                </c:pt>
                <c:pt idx="88">
                  <c:v>-0.330751762831619</c:v>
                </c:pt>
                <c:pt idx="89">
                  <c:v>-0.33077563957437</c:v>
                </c:pt>
                <c:pt idx="90">
                  <c:v>-0.330793520993503</c:v>
                </c:pt>
                <c:pt idx="91">
                  <c:v>-0.330806912483017</c:v>
                </c:pt>
                <c:pt idx="92">
                  <c:v>-0.330816941440456</c:v>
                </c:pt>
                <c:pt idx="93">
                  <c:v>-0.330824452179809</c:v>
                </c:pt>
                <c:pt idx="94">
                  <c:v>-0.330830077012299</c:v>
                </c:pt>
                <c:pt idx="95">
                  <c:v>-0.330834289479148</c:v>
                </c:pt>
                <c:pt idx="96">
                  <c:v>-0.330837444217887</c:v>
                </c:pt>
                <c:pt idx="97">
                  <c:v>-0.33083980681844</c:v>
                </c:pt>
                <c:pt idx="98">
                  <c:v>-0.33084157618251</c:v>
                </c:pt>
                <c:pt idx="99">
                  <c:v>-0.330842901268636</c:v>
                </c:pt>
                <c:pt idx="100">
                  <c:v>-0.330843893632654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081592"/>
        <c:axId val="2083105992"/>
      </c:lineChart>
      <c:catAx>
        <c:axId val="2083081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3105992"/>
        <c:crosses val="autoZero"/>
        <c:auto val="1"/>
        <c:lblAlgn val="ctr"/>
        <c:lblOffset val="100"/>
        <c:noMultiLvlLbl val="0"/>
      </c:catAx>
      <c:valAx>
        <c:axId val="2083105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081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500714545913"/>
          <c:y val="0.0712485939257592"/>
          <c:w val="0.109231279364101"/>
          <c:h val="0.27123423401862"/>
        </c:manualLayout>
      </c:layout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25178169454797"/>
          <c:y val="0.0251141552511415"/>
          <c:w val="0.835211888549518"/>
          <c:h val="0.912450652572538"/>
        </c:manualLayout>
      </c:layout>
      <c:lineChart>
        <c:grouping val="standard"/>
        <c:varyColors val="0"/>
        <c:ser>
          <c:idx val="1"/>
          <c:order val="0"/>
          <c:tx>
            <c:strRef>
              <c:f>'Zustandsregler mit I_Regler'!$J$14</c:f>
              <c:strCache>
                <c:ptCount val="1"/>
                <c:pt idx="0">
                  <c:v>u(k) - uR(k)  [V]</c:v>
                </c:pt>
              </c:strCache>
            </c:strRef>
          </c:tx>
          <c:val>
            <c:numRef>
              <c:f>'Zustandsregler mit I_Regler'!$J$15:$J$115</c:f>
              <c:numCache>
                <c:formatCode>0</c:formatCode>
                <c:ptCount val="101"/>
                <c:pt idx="0" formatCode="General">
                  <c:v>0.0</c:v>
                </c:pt>
                <c:pt idx="1">
                  <c:v>24.0</c:v>
                </c:pt>
                <c:pt idx="2">
                  <c:v>34.6209887489177</c:v>
                </c:pt>
                <c:pt idx="3">
                  <c:v>37.97506365676303</c:v>
                </c:pt>
                <c:pt idx="4">
                  <c:v>37.14056737153064</c:v>
                </c:pt>
                <c:pt idx="5">
                  <c:v>34.12479035309527</c:v>
                </c:pt>
                <c:pt idx="6">
                  <c:v>30.21081354760204</c:v>
                </c:pt>
                <c:pt idx="7">
                  <c:v>26.18843039525579</c:v>
                </c:pt>
                <c:pt idx="8">
                  <c:v>22.51174398276611</c:v>
                </c:pt>
                <c:pt idx="9">
                  <c:v>19.40902257689804</c:v>
                </c:pt>
                <c:pt idx="10">
                  <c:v>16.96039454494698</c:v>
                </c:pt>
                <c:pt idx="11">
                  <c:v>15.15310619480544</c:v>
                </c:pt>
                <c:pt idx="12">
                  <c:v>13.92063424035985</c:v>
                </c:pt>
                <c:pt idx="13">
                  <c:v>13.16991552129252</c:v>
                </c:pt>
                <c:pt idx="14">
                  <c:v>12.79972847323252</c:v>
                </c:pt>
                <c:pt idx="15">
                  <c:v>12.71248491736552</c:v>
                </c:pt>
                <c:pt idx="16">
                  <c:v>12.82116892072712</c:v>
                </c:pt>
                <c:pt idx="17">
                  <c:v>13.05278209258278</c:v>
                </c:pt>
                <c:pt idx="18">
                  <c:v>13.3493629157893</c:v>
                </c:pt>
                <c:pt idx="19">
                  <c:v>13.66741117741837</c:v>
                </c:pt>
                <c:pt idx="20">
                  <c:v>13.97635210246707</c:v>
                </c:pt>
                <c:pt idx="21">
                  <c:v>14.25651090541652</c:v>
                </c:pt>
                <c:pt idx="22">
                  <c:v>14.49693311919727</c:v>
                </c:pt>
                <c:pt idx="23">
                  <c:v>14.69327648346572</c:v>
                </c:pt>
                <c:pt idx="24">
                  <c:v>14.84591387271302</c:v>
                </c:pt>
                <c:pt idx="25">
                  <c:v>14.95832108801449</c:v>
                </c:pt>
                <c:pt idx="26">
                  <c:v>15.03577550697765</c:v>
                </c:pt>
                <c:pt idx="27">
                  <c:v>15.08435867461556</c:v>
                </c:pt>
                <c:pt idx="28">
                  <c:v>16.1302241921876</c:v>
                </c:pt>
                <c:pt idx="29">
                  <c:v>18.05879746079277</c:v>
                </c:pt>
                <c:pt idx="30">
                  <c:v>20.20580035338295</c:v>
                </c:pt>
                <c:pt idx="31">
                  <c:v>22.20265982099967</c:v>
                </c:pt>
                <c:pt idx="32">
                  <c:v>23.86965530507772</c:v>
                </c:pt>
                <c:pt idx="33">
                  <c:v>25.1445925236089</c:v>
                </c:pt>
                <c:pt idx="34">
                  <c:v>26.03502750415281</c:v>
                </c:pt>
                <c:pt idx="35">
                  <c:v>26.5864272454421</c:v>
                </c:pt>
                <c:pt idx="36">
                  <c:v>26.86129794498895</c:v>
                </c:pt>
                <c:pt idx="37">
                  <c:v>26.92593969107882</c:v>
                </c:pt>
                <c:pt idx="38">
                  <c:v>26.84251336649055</c:v>
                </c:pt>
                <c:pt idx="39">
                  <c:v>26.66477536274759</c:v>
                </c:pt>
                <c:pt idx="40">
                  <c:v>26.4362907277193</c:v>
                </c:pt>
                <c:pt idx="41">
                  <c:v>26.19025770428008</c:v>
                </c:pt>
                <c:pt idx="42">
                  <c:v>25.95031351218076</c:v>
                </c:pt>
                <c:pt idx="43">
                  <c:v>25.73186997978042</c:v>
                </c:pt>
                <c:pt idx="44">
                  <c:v>25.54366436147954</c:v>
                </c:pt>
                <c:pt idx="45">
                  <c:v>25.3893153538711</c:v>
                </c:pt>
                <c:pt idx="46">
                  <c:v>25.26875361151992</c:v>
                </c:pt>
                <c:pt idx="47">
                  <c:v>25.1794548474627</c:v>
                </c:pt>
                <c:pt idx="48">
                  <c:v>25.11744578300289</c:v>
                </c:pt>
                <c:pt idx="49">
                  <c:v>25.07808207853242</c:v>
                </c:pt>
                <c:pt idx="50">
                  <c:v>25.05661578254631</c:v>
                </c:pt>
                <c:pt idx="51">
                  <c:v>25.04858025041256</c:v>
                </c:pt>
                <c:pt idx="52">
                  <c:v>25.05002501910048</c:v>
                </c:pt>
                <c:pt idx="53">
                  <c:v>25.05763354150517</c:v>
                </c:pt>
                <c:pt idx="54">
                  <c:v>25.06875441303523</c:v>
                </c:pt>
                <c:pt idx="55">
                  <c:v>25.08137288256112</c:v>
                </c:pt>
                <c:pt idx="56">
                  <c:v>25.09404487056432</c:v>
                </c:pt>
                <c:pt idx="57">
                  <c:v>25.10581102022747</c:v>
                </c:pt>
                <c:pt idx="58">
                  <c:v>25.11610388344329</c:v>
                </c:pt>
                <c:pt idx="59">
                  <c:v>25.12465743488185</c:v>
                </c:pt>
                <c:pt idx="60">
                  <c:v>25.13142483278702</c:v>
                </c:pt>
                <c:pt idx="61">
                  <c:v>1.136507735684518</c:v>
                </c:pt>
                <c:pt idx="62">
                  <c:v>-9.480890239171925</c:v>
                </c:pt>
                <c:pt idx="63">
                  <c:v>-12.8326284020467</c:v>
                </c:pt>
                <c:pt idx="64">
                  <c:v>-11.99679872152599</c:v>
                </c:pt>
                <c:pt idx="65">
                  <c:v>-8.98045126983916</c:v>
                </c:pt>
                <c:pt idx="66">
                  <c:v>-5.066451266808505</c:v>
                </c:pt>
                <c:pt idx="67">
                  <c:v>-1.044408764657273</c:v>
                </c:pt>
                <c:pt idx="68">
                  <c:v>2.631721520993031</c:v>
                </c:pt>
                <c:pt idx="69">
                  <c:v>5.733785505407503</c:v>
                </c:pt>
                <c:pt idx="70">
                  <c:v>8.18173790082909</c:v>
                </c:pt>
                <c:pt idx="71">
                  <c:v>9.988388728412092</c:v>
                </c:pt>
                <c:pt idx="72">
                  <c:v>11.2202957190236</c:v>
                </c:pt>
                <c:pt idx="73">
                  <c:v>11.97053943855319</c:v>
                </c:pt>
                <c:pt idx="74">
                  <c:v>12.34034628914606</c:v>
                </c:pt>
                <c:pt idx="75">
                  <c:v>12.42730061165081</c:v>
                </c:pt>
                <c:pt idx="76">
                  <c:v>12.31840904502553</c:v>
                </c:pt>
                <c:pt idx="77">
                  <c:v>12.08665776566318</c:v>
                </c:pt>
                <c:pt idx="78">
                  <c:v>11.78999505083063</c:v>
                </c:pt>
                <c:pt idx="79">
                  <c:v>11.47190817804422</c:v>
                </c:pt>
                <c:pt idx="80">
                  <c:v>11.16296014885484</c:v>
                </c:pt>
                <c:pt idx="81">
                  <c:v>10.8828156184432</c:v>
                </c:pt>
                <c:pt idx="82">
                  <c:v>9.622431629962008</c:v>
                </c:pt>
                <c:pt idx="83">
                  <c:v>7.506481627263599</c:v>
                </c:pt>
                <c:pt idx="84">
                  <c:v>5.203936452119818</c:v>
                </c:pt>
                <c:pt idx="85">
                  <c:v>3.084126083513286</c:v>
                </c:pt>
                <c:pt idx="86">
                  <c:v>1.324861335142738</c:v>
                </c:pt>
                <c:pt idx="87">
                  <c:v>-0.0151997461147162</c:v>
                </c:pt>
                <c:pt idx="88">
                  <c:v>-0.947965380036651</c:v>
                </c:pt>
                <c:pt idx="89">
                  <c:v>-1.523472897476746</c:v>
                </c:pt>
                <c:pt idx="90">
                  <c:v>-1.808604644146763</c:v>
                </c:pt>
                <c:pt idx="91">
                  <c:v>-1.873583920228678</c:v>
                </c:pt>
                <c:pt idx="92">
                  <c:v>-1.783904094583625</c:v>
                </c:pt>
                <c:pt idx="93">
                  <c:v>-1.596015882732442</c:v>
                </c:pt>
                <c:pt idx="94">
                  <c:v>-1.355556416891506</c:v>
                </c:pt>
                <c:pt idx="95">
                  <c:v>-1.097230479719768</c:v>
                </c:pt>
                <c:pt idx="96">
                  <c:v>-0.845695769387135</c:v>
                </c:pt>
                <c:pt idx="97">
                  <c:v>-0.61698720280854</c:v>
                </c:pt>
                <c:pt idx="98">
                  <c:v>-0.420155907083243</c:v>
                </c:pt>
                <c:pt idx="99">
                  <c:v>-0.25890653718852</c:v>
                </c:pt>
                <c:pt idx="100">
                  <c:v>-0.133098511093611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'Zustandsregler mit I_Regler'!$K$14</c:f>
              <c:strCache>
                <c:ptCount val="1"/>
                <c:pt idx="0">
                  <c:v>x1(k)  [A]</c:v>
                </c:pt>
              </c:strCache>
            </c:strRef>
          </c:tx>
          <c:val>
            <c:numRef>
              <c:f>'Zustandsregler mit I_Regler'!$K$15:$K$115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6.896837256731212</c:v>
                </c:pt>
                <c:pt idx="2">
                  <c:v>9.39431650723054</c:v>
                </c:pt>
                <c:pt idx="3">
                  <c:v>9.404470960633656</c:v>
                </c:pt>
                <c:pt idx="4">
                  <c:v>8.138376915175419</c:v>
                </c:pt>
                <c:pt idx="5">
                  <c:v>6.346981737851521</c:v>
                </c:pt>
                <c:pt idx="6">
                  <c:v>4.477923050408522</c:v>
                </c:pt>
                <c:pt idx="7">
                  <c:v>2.779503703673968</c:v>
                </c:pt>
                <c:pt idx="8">
                  <c:v>1.370727189676986</c:v>
                </c:pt>
                <c:pt idx="9">
                  <c:v>0.28899335261381</c:v>
                </c:pt>
                <c:pt idx="10">
                  <c:v>-0.477296203569987</c:v>
                </c:pt>
                <c:pt idx="11">
                  <c:v>-0.966573216863626</c:v>
                </c:pt>
                <c:pt idx="12">
                  <c:v>-1.229297051013515</c:v>
                </c:pt>
                <c:pt idx="13">
                  <c:v>-1.318391352371258</c:v>
                </c:pt>
                <c:pt idx="14">
                  <c:v>-1.283417982019744</c:v>
                </c:pt>
                <c:pt idx="15">
                  <c:v>-1.167387975026784</c:v>
                </c:pt>
                <c:pt idx="16">
                  <c:v>-1.005390968103705</c:v>
                </c:pt>
                <c:pt idx="17">
                  <c:v>-0.824430433156231</c:v>
                </c:pt>
                <c:pt idx="18">
                  <c:v>-0.644008692773216</c:v>
                </c:pt>
                <c:pt idx="19">
                  <c:v>-0.477127946424468</c:v>
                </c:pt>
                <c:pt idx="20">
                  <c:v>-0.331469939758614</c:v>
                </c:pt>
                <c:pt idx="21">
                  <c:v>-0.210592686931164</c:v>
                </c:pt>
                <c:pt idx="22">
                  <c:v>-0.115041369215004</c:v>
                </c:pt>
                <c:pt idx="23">
                  <c:v>-0.0433149393889553</c:v>
                </c:pt>
                <c:pt idx="24">
                  <c:v>0.00733757967729619</c:v>
                </c:pt>
                <c:pt idx="25">
                  <c:v>0.0402944740186698</c:v>
                </c:pt>
                <c:pt idx="26">
                  <c:v>0.0591010036667433</c:v>
                </c:pt>
                <c:pt idx="27">
                  <c:v>0.0671513237686118</c:v>
                </c:pt>
                <c:pt idx="28">
                  <c:v>0.688076599344207</c:v>
                </c:pt>
                <c:pt idx="29">
                  <c:v>1.512496822966068</c:v>
                </c:pt>
                <c:pt idx="30">
                  <c:v>2.315542084398546</c:v>
                </c:pt>
                <c:pt idx="31">
                  <c:v>2.987167415677157</c:v>
                </c:pt>
                <c:pt idx="32">
                  <c:v>3.486910102524385</c:v>
                </c:pt>
                <c:pt idx="33">
                  <c:v>3.814497170324405</c:v>
                </c:pt>
                <c:pt idx="34">
                  <c:v>3.990884389595028</c:v>
                </c:pt>
                <c:pt idx="35">
                  <c:v>4.04624448487366</c:v>
                </c:pt>
                <c:pt idx="36">
                  <c:v>4.012617960885634</c:v>
                </c:pt>
                <c:pt idx="37">
                  <c:v>3.919691745949505</c:v>
                </c:pt>
                <c:pt idx="38">
                  <c:v>3.79265507677471</c:v>
                </c:pt>
                <c:pt idx="39">
                  <c:v>3.651403137199564</c:v>
                </c:pt>
                <c:pt idx="40">
                  <c:v>3.510578579689545</c:v>
                </c:pt>
                <c:pt idx="41">
                  <c:v>3.38009565507637</c:v>
                </c:pt>
                <c:pt idx="42">
                  <c:v>3.265902975811312</c:v>
                </c:pt>
                <c:pt idx="43">
                  <c:v>3.170822136689493</c:v>
                </c:pt>
                <c:pt idx="44">
                  <c:v>3.09535881041057</c:v>
                </c:pt>
                <c:pt idx="45">
                  <c:v>3.038426008108259</c:v>
                </c:pt>
                <c:pt idx="46">
                  <c:v>2.99794980091214</c:v>
                </c:pt>
                <c:pt idx="47">
                  <c:v>2.971348813266088</c:v>
                </c:pt>
                <c:pt idx="48">
                  <c:v>2.955892472173024</c:v>
                </c:pt>
                <c:pt idx="49">
                  <c:v>2.948951140906443</c:v>
                </c:pt>
                <c:pt idx="50">
                  <c:v>2.948155355817029</c:v>
                </c:pt>
                <c:pt idx="51">
                  <c:v>2.951482615605477</c:v>
                </c:pt>
                <c:pt idx="52">
                  <c:v>2.957289497005765</c:v>
                </c:pt>
                <c:pt idx="53">
                  <c:v>2.964305031193519</c:v>
                </c:pt>
                <c:pt idx="54">
                  <c:v>2.971598830397945</c:v>
                </c:pt>
                <c:pt idx="55">
                  <c:v>2.97853480778981</c:v>
                </c:pt>
                <c:pt idx="56">
                  <c:v>2.984718760995663</c:v>
                </c:pt>
                <c:pt idx="57">
                  <c:v>2.989945763079988</c:v>
                </c:pt>
                <c:pt idx="58">
                  <c:v>2.994151317911056</c:v>
                </c:pt>
                <c:pt idx="59">
                  <c:v>2.997368624521184</c:v>
                </c:pt>
                <c:pt idx="60">
                  <c:v>2.999693051827203</c:v>
                </c:pt>
                <c:pt idx="61">
                  <c:v>-3.895583237488762</c:v>
                </c:pt>
                <c:pt idx="62">
                  <c:v>-6.392122643284372</c:v>
                </c:pt>
                <c:pt idx="63">
                  <c:v>-6.40181806124076</c:v>
                </c:pt>
                <c:pt idx="64">
                  <c:v>-5.135617235707481</c:v>
                </c:pt>
                <c:pt idx="65">
                  <c:v>-3.344356308005203</c:v>
                </c:pt>
                <c:pt idx="66">
                  <c:v>-1.475581400273683</c:v>
                </c:pt>
                <c:pt idx="67">
                  <c:v>0.222476288428556</c:v>
                </c:pt>
                <c:pt idx="68">
                  <c:v>1.630866463334171</c:v>
                </c:pt>
                <c:pt idx="69">
                  <c:v>2.712226315401719</c:v>
                </c:pt>
                <c:pt idx="70">
                  <c:v>3.478177830822422</c:v>
                </c:pt>
                <c:pt idx="71">
                  <c:v>3.967165689049664</c:v>
                </c:pt>
                <c:pt idx="72">
                  <c:v>4.229654187763527</c:v>
                </c:pt>
                <c:pt idx="73">
                  <c:v>4.31856624203813</c:v>
                </c:pt>
                <c:pt idx="74">
                  <c:v>4.28345928711826</c:v>
                </c:pt>
                <c:pt idx="75">
                  <c:v>4.16733781604969</c:v>
                </c:pt>
                <c:pt idx="76">
                  <c:v>4.005284008934095</c:v>
                </c:pt>
                <c:pt idx="77">
                  <c:v>3.824293829526133</c:v>
                </c:pt>
                <c:pt idx="78">
                  <c:v>3.643862615655037</c:v>
                </c:pt>
                <c:pt idx="79">
                  <c:v>3.476986447011002</c:v>
                </c:pt>
                <c:pt idx="80">
                  <c:v>3.331341976256279</c:v>
                </c:pt>
                <c:pt idx="81">
                  <c:v>3.210483182188324</c:v>
                </c:pt>
                <c:pt idx="82">
                  <c:v>2.494364186602545</c:v>
                </c:pt>
                <c:pt idx="83">
                  <c:v>1.593447313273304</c:v>
                </c:pt>
                <c:pt idx="84">
                  <c:v>0.731941167299544</c:v>
                </c:pt>
                <c:pt idx="85">
                  <c:v>0.0181204730200436</c:v>
                </c:pt>
                <c:pt idx="86">
                  <c:v>-0.509927246719292</c:v>
                </c:pt>
                <c:pt idx="87">
                  <c:v>-0.854529722238437</c:v>
                </c:pt>
                <c:pt idx="88">
                  <c:v>-1.039200500562918</c:v>
                </c:pt>
                <c:pt idx="89">
                  <c:v>-1.096452332486054</c:v>
                </c:pt>
                <c:pt idx="90">
                  <c:v>-1.060348255445996</c:v>
                </c:pt>
                <c:pt idx="91">
                  <c:v>-0.962237670540369</c:v>
                </c:pt>
                <c:pt idx="92">
                  <c:v>-0.828610711384537</c:v>
                </c:pt>
                <c:pt idx="93">
                  <c:v>-0.680327676697242</c:v>
                </c:pt>
                <c:pt idx="94">
                  <c:v>-0.532702522103049</c:v>
                </c:pt>
                <c:pt idx="95">
                  <c:v>-0.396076560383951</c:v>
                </c:pt>
                <c:pt idx="96">
                  <c:v>-0.276632151185585</c:v>
                </c:pt>
                <c:pt idx="97">
                  <c:v>-0.177279368530433</c:v>
                </c:pt>
                <c:pt idx="98">
                  <c:v>-0.0985096727340815</c:v>
                </c:pt>
                <c:pt idx="99">
                  <c:v>-0.0391549675877997</c:v>
                </c:pt>
                <c:pt idx="100">
                  <c:v>0.00297802475363382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'Zustandsregler mit I_Regler'!$M$14</c:f>
              <c:strCache>
                <c:ptCount val="1"/>
                <c:pt idx="0">
                  <c:v>f(k)=x2(k)/2π </c:v>
                </c:pt>
              </c:strCache>
            </c:strRef>
          </c:tx>
          <c:val>
            <c:numRef>
              <c:f>'Zustandsregler mit I_Regler'!$M$15:$M$115</c:f>
              <c:numCache>
                <c:formatCode>0.00</c:formatCode>
                <c:ptCount val="101"/>
                <c:pt idx="1">
                  <c:v>8.732681680444141</c:v>
                </c:pt>
                <c:pt idx="2">
                  <c:v>20.62763767392052</c:v>
                </c:pt>
                <c:pt idx="3">
                  <c:v>32.53545109840584</c:v>
                </c:pt>
                <c:pt idx="4">
                  <c:v>42.84015343516734</c:v>
                </c:pt>
                <c:pt idx="5">
                  <c:v>50.87661552424366</c:v>
                </c:pt>
                <c:pt idx="6">
                  <c:v>56.54650088373592</c:v>
                </c:pt>
                <c:pt idx="7">
                  <c:v>60.06587072969113</c:v>
                </c:pt>
                <c:pt idx="8">
                  <c:v>61.80146688378281</c:v>
                </c:pt>
                <c:pt idx="9">
                  <c:v>62.16738634254307</c:v>
                </c:pt>
                <c:pt idx="10">
                  <c:v>61.56304037091772</c:v>
                </c:pt>
                <c:pt idx="11">
                  <c:v>60.3391784890856</c:v>
                </c:pt>
                <c:pt idx="12">
                  <c:v>58.78265925605129</c:v>
                </c:pt>
                <c:pt idx="13">
                  <c:v>57.11333002847355</c:v>
                </c:pt>
                <c:pt idx="14">
                  <c:v>55.488283607522</c:v>
                </c:pt>
                <c:pt idx="15">
                  <c:v>54.0101528058219</c:v>
                </c:pt>
                <c:pt idx="16">
                  <c:v>52.7371404144864</c:v>
                </c:pt>
                <c:pt idx="17">
                  <c:v>51.69325779518906</c:v>
                </c:pt>
                <c:pt idx="18">
                  <c:v>50.87782273356881</c:v>
                </c:pt>
                <c:pt idx="19">
                  <c:v>50.27368980685631</c:v>
                </c:pt>
                <c:pt idx="20">
                  <c:v>49.85398707025442</c:v>
                </c:pt>
                <c:pt idx="21">
                  <c:v>49.58733746975755</c:v>
                </c:pt>
                <c:pt idx="22">
                  <c:v>49.44167365023555</c:v>
                </c:pt>
                <c:pt idx="23">
                  <c:v>49.3868288621666</c:v>
                </c:pt>
                <c:pt idx="24">
                  <c:v>49.396119605915</c:v>
                </c:pt>
                <c:pt idx="25">
                  <c:v>49.44713992174782</c:v>
                </c:pt>
                <c:pt idx="26">
                  <c:v>49.52197281004204</c:v>
                </c:pt>
                <c:pt idx="27">
                  <c:v>45.80843964214771</c:v>
                </c:pt>
                <c:pt idx="28">
                  <c:v>42.88111362647401</c:v>
                </c:pt>
                <c:pt idx="29">
                  <c:v>40.99765730292386</c:v>
                </c:pt>
                <c:pt idx="30">
                  <c:v>40.1310059846295</c:v>
                </c:pt>
                <c:pt idx="31">
                  <c:v>40.11475754061707</c:v>
                </c:pt>
                <c:pt idx="32">
                  <c:v>40.73127650054873</c:v>
                </c:pt>
                <c:pt idx="33">
                  <c:v>41.76258175733489</c:v>
                </c:pt>
                <c:pt idx="34">
                  <c:v>43.01722611595148</c:v>
                </c:pt>
                <c:pt idx="35">
                  <c:v>44.34196667546009</c:v>
                </c:pt>
                <c:pt idx="36">
                  <c:v>45.62412978691877</c:v>
                </c:pt>
                <c:pt idx="37">
                  <c:v>46.78863098689568</c:v>
                </c:pt>
                <c:pt idx="38">
                  <c:v>47.79228008142894</c:v>
                </c:pt>
                <c:pt idx="39">
                  <c:v>48.61707788817066</c:v>
                </c:pt>
                <c:pt idx="40">
                  <c:v>49.26356555248816</c:v>
                </c:pt>
                <c:pt idx="41">
                  <c:v>49.74483750952358</c:v>
                </c:pt>
                <c:pt idx="42">
                  <c:v>50.08152024672704</c:v>
                </c:pt>
                <c:pt idx="43">
                  <c:v>50.29781291656301</c:v>
                </c:pt>
                <c:pt idx="44">
                  <c:v>50.41855494740166</c:v>
                </c:pt>
                <c:pt idx="45">
                  <c:v>50.46720943707113</c:v>
                </c:pt>
                <c:pt idx="46">
                  <c:v>50.4646135028263</c:v>
                </c:pt>
                <c:pt idx="47">
                  <c:v>50.42833575924608</c:v>
                </c:pt>
                <c:pt idx="48">
                  <c:v>50.37248740645968</c:v>
                </c:pt>
                <c:pt idx="49">
                  <c:v>50.30785003428176</c:v>
                </c:pt>
                <c:pt idx="50">
                  <c:v>50.2422050498298</c:v>
                </c:pt>
                <c:pt idx="51">
                  <c:v>50.18077299654022</c:v>
                </c:pt>
                <c:pt idx="52">
                  <c:v>50.12669353762645</c:v>
                </c:pt>
                <c:pt idx="53">
                  <c:v>50.08149705283537</c:v>
                </c:pt>
                <c:pt idx="54">
                  <c:v>50.04553587755246</c:v>
                </c:pt>
                <c:pt idx="55">
                  <c:v>50.0183569426576</c:v>
                </c:pt>
                <c:pt idx="56">
                  <c:v>49.99900804533841</c:v>
                </c:pt>
                <c:pt idx="57">
                  <c:v>49.98627750707951</c:v>
                </c:pt>
                <c:pt idx="58">
                  <c:v>49.97887198523933</c:v>
                </c:pt>
                <c:pt idx="59">
                  <c:v>49.97554017334021</c:v>
                </c:pt>
                <c:pt idx="60">
                  <c:v>49.97515151973195</c:v>
                </c:pt>
                <c:pt idx="61">
                  <c:v>41.24405766142394</c:v>
                </c:pt>
                <c:pt idx="62">
                  <c:v>29.35187950868512</c:v>
                </c:pt>
                <c:pt idx="63">
                  <c:v>17.44742514938665</c:v>
                </c:pt>
                <c:pt idx="64">
                  <c:v>7.14621708129301</c:v>
                </c:pt>
                <c:pt idx="65">
                  <c:v>-0.886920724163325</c:v>
                </c:pt>
                <c:pt idx="66">
                  <c:v>-6.553841118052754</c:v>
                </c:pt>
                <c:pt idx="67">
                  <c:v>-10.0707039248946</c:v>
                </c:pt>
                <c:pt idx="68">
                  <c:v>-11.8042822171842</c:v>
                </c:pt>
                <c:pt idx="69">
                  <c:v>-12.16865734886541</c:v>
                </c:pt>
                <c:pt idx="70">
                  <c:v>-11.56319507278488</c:v>
                </c:pt>
                <c:pt idx="71">
                  <c:v>-10.33858301071614</c:v>
                </c:pt>
                <c:pt idx="72">
                  <c:v>-8.78161157597862</c:v>
                </c:pt>
                <c:pt idx="73">
                  <c:v>-7.112060905479566</c:v>
                </c:pt>
                <c:pt idx="74">
                  <c:v>-5.48696218457316</c:v>
                </c:pt>
                <c:pt idx="75">
                  <c:v>-4.008894893488743</c:v>
                </c:pt>
                <c:pt idx="76">
                  <c:v>-2.736017932401368</c:v>
                </c:pt>
                <c:pt idx="77">
                  <c:v>-1.692308278765482</c:v>
                </c:pt>
                <c:pt idx="78">
                  <c:v>-0.87705817800865</c:v>
                </c:pt>
                <c:pt idx="79">
                  <c:v>-0.273104415932015</c:v>
                </c:pt>
                <c:pt idx="80">
                  <c:v>0.14643629502087</c:v>
                </c:pt>
                <c:pt idx="81">
                  <c:v>4.211506504283403</c:v>
                </c:pt>
                <c:pt idx="82">
                  <c:v>7.369836565709836</c:v>
                </c:pt>
                <c:pt idx="83">
                  <c:v>9.387437915922038</c:v>
                </c:pt>
                <c:pt idx="84">
                  <c:v>10.31421188272854</c:v>
                </c:pt>
                <c:pt idx="85">
                  <c:v>10.33715577960368</c:v>
                </c:pt>
                <c:pt idx="86">
                  <c:v>9.69149282424849</c:v>
                </c:pt>
                <c:pt idx="87">
                  <c:v>8.609498893841694</c:v>
                </c:pt>
                <c:pt idx="88">
                  <c:v>7.293677331615167</c:v>
                </c:pt>
                <c:pt idx="89">
                  <c:v>5.905364277245764</c:v>
                </c:pt>
                <c:pt idx="90">
                  <c:v>4.562765714957399</c:v>
                </c:pt>
                <c:pt idx="91">
                  <c:v>3.344393443006222</c:v>
                </c:pt>
                <c:pt idx="92">
                  <c:v>2.295217812181338</c:v>
                </c:pt>
                <c:pt idx="93">
                  <c:v>1.433796146301849</c:v>
                </c:pt>
                <c:pt idx="94">
                  <c:v>0.759295446527402</c:v>
                </c:pt>
                <c:pt idx="95">
                  <c:v>0.257788684200582</c:v>
                </c:pt>
                <c:pt idx="96">
                  <c:v>-0.0924791891673861</c:v>
                </c:pt>
                <c:pt idx="97">
                  <c:v>-0.316947918275858</c:v>
                </c:pt>
                <c:pt idx="98">
                  <c:v>-0.441679528202113</c:v>
                </c:pt>
                <c:pt idx="99">
                  <c:v>-0.491257016465831</c:v>
                </c:pt>
                <c:pt idx="100">
                  <c:v>-0.487486281962188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625880"/>
        <c:axId val="2072631448"/>
      </c:lineChart>
      <c:catAx>
        <c:axId val="2072625880"/>
        <c:scaling>
          <c:orientation val="minMax"/>
        </c:scaling>
        <c:delete val="0"/>
        <c:axPos val="b"/>
        <c:majorTickMark val="out"/>
        <c:minorTickMark val="none"/>
        <c:tickLblPos val="nextTo"/>
        <c:crossAx val="2072631448"/>
        <c:crosses val="autoZero"/>
        <c:auto val="1"/>
        <c:lblAlgn val="ctr"/>
        <c:lblOffset val="100"/>
        <c:noMultiLvlLbl val="0"/>
      </c:catAx>
      <c:valAx>
        <c:axId val="2072631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2625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30278999822531"/>
          <c:y val="0.0190350142402412"/>
          <c:w val="0.835211888549518"/>
          <c:h val="0.912450652572538"/>
        </c:manualLayout>
      </c:layout>
      <c:lineChart>
        <c:grouping val="standard"/>
        <c:varyColors val="0"/>
        <c:ser>
          <c:idx val="3"/>
          <c:order val="0"/>
          <c:tx>
            <c:strRef>
              <c:f>'Zustandsregler mit I_Regler'!$N$14</c:f>
              <c:strCache>
                <c:ptCount val="1"/>
                <c:pt idx="0">
                  <c:v>u(k)/uN</c:v>
                </c:pt>
              </c:strCache>
            </c:strRef>
          </c:tx>
          <c:cat>
            <c:numRef>
              <c:f>'Zustandsregler mit I_Regler'!$A$15:$A$115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'Zustandsregler mit I_Regler'!$N$15:$N$115</c:f>
              <c:numCache>
                <c:formatCode>General</c:formatCode>
                <c:ptCount val="101"/>
                <c:pt idx="0">
                  <c:v>0.0</c:v>
                </c:pt>
                <c:pt idx="1">
                  <c:v>1.0</c:v>
                </c:pt>
                <c:pt idx="2" formatCode="0.000">
                  <c:v>1.442541197871571</c:v>
                </c:pt>
                <c:pt idx="3" formatCode="0.000">
                  <c:v>1.582294319031793</c:v>
                </c:pt>
                <c:pt idx="4" formatCode="0.000">
                  <c:v>1.547523640480444</c:v>
                </c:pt>
                <c:pt idx="5" formatCode="0.000">
                  <c:v>1.421866264712303</c:v>
                </c:pt>
                <c:pt idx="6" formatCode="0.000">
                  <c:v>1.258783897816752</c:v>
                </c:pt>
                <c:pt idx="7" formatCode="0.000">
                  <c:v>1.091184599802325</c:v>
                </c:pt>
                <c:pt idx="8" formatCode="0.000">
                  <c:v>0.937989332615254</c:v>
                </c:pt>
                <c:pt idx="9" formatCode="0.000">
                  <c:v>0.808709274037418</c:v>
                </c:pt>
                <c:pt idx="10" formatCode="0.000">
                  <c:v>0.706683106039457</c:v>
                </c:pt>
                <c:pt idx="11" formatCode="0.000">
                  <c:v>0.63137942478356</c:v>
                </c:pt>
                <c:pt idx="12" formatCode="0.000">
                  <c:v>0.58002642668166</c:v>
                </c:pt>
                <c:pt idx="13" formatCode="0.000">
                  <c:v>0.548746480053855</c:v>
                </c:pt>
                <c:pt idx="14" formatCode="0.000">
                  <c:v>0.533322019718022</c:v>
                </c:pt>
                <c:pt idx="15" formatCode="0.000">
                  <c:v>0.529686871556897</c:v>
                </c:pt>
                <c:pt idx="16" formatCode="0.000">
                  <c:v>0.534215371696963</c:v>
                </c:pt>
                <c:pt idx="17" formatCode="0.000">
                  <c:v>0.543865920524282</c:v>
                </c:pt>
                <c:pt idx="18" formatCode="0.000">
                  <c:v>0.556223454824554</c:v>
                </c:pt>
                <c:pt idx="19" formatCode="0.000">
                  <c:v>0.569475465725765</c:v>
                </c:pt>
                <c:pt idx="20" formatCode="0.000">
                  <c:v>0.582348004269461</c:v>
                </c:pt>
                <c:pt idx="21" formatCode="0.000">
                  <c:v>0.594021287725688</c:v>
                </c:pt>
                <c:pt idx="22" formatCode="0.000">
                  <c:v>0.604038879966553</c:v>
                </c:pt>
                <c:pt idx="23" formatCode="0.000">
                  <c:v>0.612219853477738</c:v>
                </c:pt>
                <c:pt idx="24" formatCode="0.000">
                  <c:v>0.618579744696376</c:v>
                </c:pt>
                <c:pt idx="25" formatCode="0.000">
                  <c:v>0.623263378667271</c:v>
                </c:pt>
                <c:pt idx="26" formatCode="0.000">
                  <c:v>0.626490646124069</c:v>
                </c:pt>
                <c:pt idx="27" formatCode="0.000">
                  <c:v>0.628514944775648</c:v>
                </c:pt>
                <c:pt idx="28" formatCode="0.000">
                  <c:v>0.672092674674483</c:v>
                </c:pt>
                <c:pt idx="29" formatCode="0.000">
                  <c:v>0.752449894199699</c:v>
                </c:pt>
                <c:pt idx="30" formatCode="0.000">
                  <c:v>0.841908348057623</c:v>
                </c:pt>
                <c:pt idx="31" formatCode="0.000">
                  <c:v>0.925110825874986</c:v>
                </c:pt>
                <c:pt idx="32" formatCode="0.000">
                  <c:v>0.994568971044905</c:v>
                </c:pt>
                <c:pt idx="33" formatCode="0.000">
                  <c:v>1.047691355150371</c:v>
                </c:pt>
                <c:pt idx="34" formatCode="0.000">
                  <c:v>1.084792812673034</c:v>
                </c:pt>
                <c:pt idx="35" formatCode="0.000">
                  <c:v>1.107767801893421</c:v>
                </c:pt>
                <c:pt idx="36" formatCode="0.000">
                  <c:v>1.119220747707873</c:v>
                </c:pt>
                <c:pt idx="37" formatCode="0.000">
                  <c:v>1.121914153794951</c:v>
                </c:pt>
                <c:pt idx="38" formatCode="0.000">
                  <c:v>1.118438056937106</c:v>
                </c:pt>
                <c:pt idx="39" formatCode="0.000">
                  <c:v>1.11103230678115</c:v>
                </c:pt>
                <c:pt idx="40" formatCode="0.000">
                  <c:v>1.101512113654971</c:v>
                </c:pt>
                <c:pt idx="41" formatCode="0.000">
                  <c:v>1.091260737678337</c:v>
                </c:pt>
                <c:pt idx="42" formatCode="0.000">
                  <c:v>1.081263063007532</c:v>
                </c:pt>
                <c:pt idx="43" formatCode="0.000">
                  <c:v>1.072161249157518</c:v>
                </c:pt>
                <c:pt idx="44" formatCode="0.000">
                  <c:v>1.064319348394981</c:v>
                </c:pt>
                <c:pt idx="45" formatCode="0.000">
                  <c:v>1.057888139744629</c:v>
                </c:pt>
                <c:pt idx="46" formatCode="0.000">
                  <c:v>1.05286473381333</c:v>
                </c:pt>
                <c:pt idx="47" formatCode="0.000">
                  <c:v>1.049143951977612</c:v>
                </c:pt>
                <c:pt idx="48" formatCode="0.000">
                  <c:v>1.046560240958454</c:v>
                </c:pt>
                <c:pt idx="49" formatCode="0.000">
                  <c:v>1.044920086605517</c:v>
                </c:pt>
                <c:pt idx="50" formatCode="0.000">
                  <c:v>1.044025657606096</c:v>
                </c:pt>
                <c:pt idx="51" formatCode="0.000">
                  <c:v>1.04369084376719</c:v>
                </c:pt>
                <c:pt idx="52" formatCode="0.000">
                  <c:v>1.04375104246252</c:v>
                </c:pt>
                <c:pt idx="53" formatCode="0.000">
                  <c:v>1.044068064229382</c:v>
                </c:pt>
                <c:pt idx="54" formatCode="0.000">
                  <c:v>1.044531433876468</c:v>
                </c:pt>
                <c:pt idx="55" formatCode="0.000">
                  <c:v>1.045057203440047</c:v>
                </c:pt>
                <c:pt idx="56" formatCode="0.000">
                  <c:v>1.04558520294018</c:v>
                </c:pt>
                <c:pt idx="57" formatCode="0.000">
                  <c:v>1.046075459176145</c:v>
                </c:pt>
                <c:pt idx="58" formatCode="0.000">
                  <c:v>1.046504328476804</c:v>
                </c:pt>
                <c:pt idx="59" formatCode="0.000">
                  <c:v>1.04686072645341</c:v>
                </c:pt>
                <c:pt idx="60" formatCode="0.000">
                  <c:v>1.047142701366126</c:v>
                </c:pt>
                <c:pt idx="61" formatCode="0.000">
                  <c:v>0.0473544889868549</c:v>
                </c:pt>
                <c:pt idx="62" formatCode="0.000">
                  <c:v>-0.39503709329883</c:v>
                </c:pt>
                <c:pt idx="63" formatCode="0.000">
                  <c:v>-0.534692850085279</c:v>
                </c:pt>
                <c:pt idx="64" formatCode="0.000">
                  <c:v>-0.499866613396916</c:v>
                </c:pt>
                <c:pt idx="65" formatCode="0.000">
                  <c:v>-0.374185469576632</c:v>
                </c:pt>
                <c:pt idx="66" formatCode="0.000">
                  <c:v>-0.211102136117021</c:v>
                </c:pt>
                <c:pt idx="67" formatCode="0.000">
                  <c:v>-0.0435170318607197</c:v>
                </c:pt>
                <c:pt idx="68" formatCode="0.000">
                  <c:v>0.10965506337471</c:v>
                </c:pt>
                <c:pt idx="69" formatCode="0.000">
                  <c:v>0.238907729391979</c:v>
                </c:pt>
                <c:pt idx="70" formatCode="0.000">
                  <c:v>0.340905745867879</c:v>
                </c:pt>
                <c:pt idx="71" formatCode="0.000">
                  <c:v>0.416182863683837</c:v>
                </c:pt>
                <c:pt idx="72" formatCode="0.000">
                  <c:v>0.467512321625983</c:v>
                </c:pt>
                <c:pt idx="73" formatCode="0.000">
                  <c:v>0.498772476606383</c:v>
                </c:pt>
                <c:pt idx="74" formatCode="0.000">
                  <c:v>0.514181095381086</c:v>
                </c:pt>
                <c:pt idx="75" formatCode="0.000">
                  <c:v>0.517804192152117</c:v>
                </c:pt>
                <c:pt idx="76" formatCode="0.000">
                  <c:v>0.51326704354273</c:v>
                </c:pt>
                <c:pt idx="77" formatCode="0.000">
                  <c:v>0.503610740235966</c:v>
                </c:pt>
                <c:pt idx="78" formatCode="0.000">
                  <c:v>0.491249793784609</c:v>
                </c:pt>
                <c:pt idx="79" formatCode="0.000">
                  <c:v>0.477996174085176</c:v>
                </c:pt>
                <c:pt idx="80" formatCode="0.000">
                  <c:v>0.465123339535618</c:v>
                </c:pt>
                <c:pt idx="81" formatCode="0.000">
                  <c:v>0.453450650768466</c:v>
                </c:pt>
                <c:pt idx="82" formatCode="0.000">
                  <c:v>0.400934651248417</c:v>
                </c:pt>
                <c:pt idx="83" formatCode="0.000">
                  <c:v>0.31277006780265</c:v>
                </c:pt>
                <c:pt idx="84" formatCode="0.000">
                  <c:v>0.216830685504992</c:v>
                </c:pt>
                <c:pt idx="85" formatCode="0.000">
                  <c:v>0.12850525347972</c:v>
                </c:pt>
                <c:pt idx="86" formatCode="0.000">
                  <c:v>0.0552025556309474</c:v>
                </c:pt>
                <c:pt idx="87" formatCode="0.000">
                  <c:v>-0.000633322754779841</c:v>
                </c:pt>
                <c:pt idx="88" formatCode="0.000">
                  <c:v>-0.0394985575015271</c:v>
                </c:pt>
                <c:pt idx="89" formatCode="0.000">
                  <c:v>-0.0634780373948644</c:v>
                </c:pt>
                <c:pt idx="90" formatCode="0.000">
                  <c:v>-0.0753585268394484</c:v>
                </c:pt>
                <c:pt idx="91" formatCode="0.000">
                  <c:v>-0.0780659966761949</c:v>
                </c:pt>
                <c:pt idx="92" formatCode="0.000">
                  <c:v>-0.0743293372743177</c:v>
                </c:pt>
                <c:pt idx="93" formatCode="0.000">
                  <c:v>-0.0665006617805184</c:v>
                </c:pt>
                <c:pt idx="94" formatCode="0.000">
                  <c:v>-0.0564815173704794</c:v>
                </c:pt>
                <c:pt idx="95" formatCode="0.000">
                  <c:v>-0.0457179366549903</c:v>
                </c:pt>
                <c:pt idx="96" formatCode="0.000">
                  <c:v>-0.035237323724464</c:v>
                </c:pt>
                <c:pt idx="97" formatCode="0.000">
                  <c:v>-0.0257078001170225</c:v>
                </c:pt>
                <c:pt idx="98" formatCode="0.000">
                  <c:v>-0.0175064961284685</c:v>
                </c:pt>
                <c:pt idx="99" formatCode="0.000">
                  <c:v>-0.010787772382855</c:v>
                </c:pt>
                <c:pt idx="100" formatCode="0.000">
                  <c:v>-0.00554577129556714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'Zustandsregler mit I_Regler'!$O$14</c:f>
              <c:strCache>
                <c:ptCount val="1"/>
                <c:pt idx="0">
                  <c:v>x1(k)/IN</c:v>
                </c:pt>
              </c:strCache>
            </c:strRef>
          </c:tx>
          <c:cat>
            <c:numRef>
              <c:f>'Zustandsregler mit I_Regler'!$A$15:$A$115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'Zustandsregler mit I_Regler'!$O$15:$O$115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2.298945752243737</c:v>
                </c:pt>
                <c:pt idx="2">
                  <c:v>3.131438835743513</c:v>
                </c:pt>
                <c:pt idx="3">
                  <c:v>3.134823653544552</c:v>
                </c:pt>
                <c:pt idx="4">
                  <c:v>2.712792305058473</c:v>
                </c:pt>
                <c:pt idx="5">
                  <c:v>2.11566057928384</c:v>
                </c:pt>
                <c:pt idx="6">
                  <c:v>1.492641016802841</c:v>
                </c:pt>
                <c:pt idx="7">
                  <c:v>0.926501234557989</c:v>
                </c:pt>
                <c:pt idx="8">
                  <c:v>0.456909063225662</c:v>
                </c:pt>
                <c:pt idx="9">
                  <c:v>0.0963311175379366</c:v>
                </c:pt>
                <c:pt idx="10">
                  <c:v>-0.159098734523329</c:v>
                </c:pt>
                <c:pt idx="11">
                  <c:v>-0.322191072287875</c:v>
                </c:pt>
                <c:pt idx="12">
                  <c:v>-0.409765683671172</c:v>
                </c:pt>
                <c:pt idx="13">
                  <c:v>-0.439463784123753</c:v>
                </c:pt>
                <c:pt idx="14">
                  <c:v>-0.427805994006581</c:v>
                </c:pt>
                <c:pt idx="15">
                  <c:v>-0.389129325008928</c:v>
                </c:pt>
                <c:pt idx="16">
                  <c:v>-0.335130322701235</c:v>
                </c:pt>
                <c:pt idx="17">
                  <c:v>-0.27481014438541</c:v>
                </c:pt>
                <c:pt idx="18">
                  <c:v>-0.214669564257739</c:v>
                </c:pt>
                <c:pt idx="19">
                  <c:v>-0.159042648808156</c:v>
                </c:pt>
                <c:pt idx="20">
                  <c:v>-0.110489979919538</c:v>
                </c:pt>
                <c:pt idx="21">
                  <c:v>-0.070197562310388</c:v>
                </c:pt>
                <c:pt idx="22">
                  <c:v>-0.0383471230716681</c:v>
                </c:pt>
                <c:pt idx="23">
                  <c:v>-0.0144383131296518</c:v>
                </c:pt>
                <c:pt idx="24">
                  <c:v>0.00244585989243206</c:v>
                </c:pt>
                <c:pt idx="25">
                  <c:v>0.0134314913395566</c:v>
                </c:pt>
                <c:pt idx="26">
                  <c:v>0.0197003345555811</c:v>
                </c:pt>
                <c:pt idx="27">
                  <c:v>0.0223837745895373</c:v>
                </c:pt>
                <c:pt idx="28">
                  <c:v>0.229358866448069</c:v>
                </c:pt>
                <c:pt idx="29">
                  <c:v>0.504165607655356</c:v>
                </c:pt>
                <c:pt idx="30">
                  <c:v>0.771847361466182</c:v>
                </c:pt>
                <c:pt idx="31">
                  <c:v>0.995722471892386</c:v>
                </c:pt>
                <c:pt idx="32">
                  <c:v>1.162303367508128</c:v>
                </c:pt>
                <c:pt idx="33">
                  <c:v>1.271499056774801</c:v>
                </c:pt>
                <c:pt idx="34">
                  <c:v>1.330294796531676</c:v>
                </c:pt>
                <c:pt idx="35">
                  <c:v>1.348748161624554</c:v>
                </c:pt>
                <c:pt idx="36">
                  <c:v>1.337539320295211</c:v>
                </c:pt>
                <c:pt idx="37">
                  <c:v>1.306563915316502</c:v>
                </c:pt>
                <c:pt idx="38">
                  <c:v>1.264218358924903</c:v>
                </c:pt>
                <c:pt idx="39">
                  <c:v>1.217134379066521</c:v>
                </c:pt>
                <c:pt idx="40">
                  <c:v>1.170192859896515</c:v>
                </c:pt>
                <c:pt idx="41">
                  <c:v>1.126698551692124</c:v>
                </c:pt>
                <c:pt idx="42">
                  <c:v>1.088634325270437</c:v>
                </c:pt>
                <c:pt idx="43">
                  <c:v>1.056940712229831</c:v>
                </c:pt>
                <c:pt idx="44">
                  <c:v>1.031786270136857</c:v>
                </c:pt>
                <c:pt idx="45">
                  <c:v>1.01280866936942</c:v>
                </c:pt>
                <c:pt idx="46">
                  <c:v>0.999316600304047</c:v>
                </c:pt>
                <c:pt idx="47">
                  <c:v>0.990449604422029</c:v>
                </c:pt>
                <c:pt idx="48">
                  <c:v>0.985297490724341</c:v>
                </c:pt>
                <c:pt idx="49">
                  <c:v>0.982983713635481</c:v>
                </c:pt>
                <c:pt idx="50">
                  <c:v>0.982718451939009</c:v>
                </c:pt>
                <c:pt idx="51">
                  <c:v>0.983827538535159</c:v>
                </c:pt>
                <c:pt idx="52">
                  <c:v>0.985763165668588</c:v>
                </c:pt>
                <c:pt idx="53">
                  <c:v>0.988101677064506</c:v>
                </c:pt>
                <c:pt idx="54">
                  <c:v>0.990532943465982</c:v>
                </c:pt>
                <c:pt idx="55">
                  <c:v>0.992844935929937</c:v>
                </c:pt>
                <c:pt idx="56">
                  <c:v>0.994906253665221</c:v>
                </c:pt>
                <c:pt idx="57">
                  <c:v>0.996648587693329</c:v>
                </c:pt>
                <c:pt idx="58">
                  <c:v>0.998050439303685</c:v>
                </c:pt>
                <c:pt idx="59">
                  <c:v>0.999122874840395</c:v>
                </c:pt>
                <c:pt idx="60">
                  <c:v>0.999897683942401</c:v>
                </c:pt>
                <c:pt idx="61">
                  <c:v>-1.298527745829587</c:v>
                </c:pt>
                <c:pt idx="62">
                  <c:v>-2.130707547761457</c:v>
                </c:pt>
                <c:pt idx="63">
                  <c:v>-2.13393935374692</c:v>
                </c:pt>
                <c:pt idx="64">
                  <c:v>-1.711872411902494</c:v>
                </c:pt>
                <c:pt idx="65">
                  <c:v>-1.114785436001734</c:v>
                </c:pt>
                <c:pt idx="66">
                  <c:v>-0.491860466757894</c:v>
                </c:pt>
                <c:pt idx="67">
                  <c:v>0.0741587628095186</c:v>
                </c:pt>
                <c:pt idx="68">
                  <c:v>0.543622154444724</c:v>
                </c:pt>
                <c:pt idx="69">
                  <c:v>0.90407543846724</c:v>
                </c:pt>
                <c:pt idx="70">
                  <c:v>1.159392610274141</c:v>
                </c:pt>
                <c:pt idx="71">
                  <c:v>1.322388563016555</c:v>
                </c:pt>
                <c:pt idx="72">
                  <c:v>1.409884729254509</c:v>
                </c:pt>
                <c:pt idx="73">
                  <c:v>1.439522080679376</c:v>
                </c:pt>
                <c:pt idx="74">
                  <c:v>1.427819762372754</c:v>
                </c:pt>
                <c:pt idx="75">
                  <c:v>1.389112605349896</c:v>
                </c:pt>
                <c:pt idx="76">
                  <c:v>1.335094669644698</c:v>
                </c:pt>
                <c:pt idx="77">
                  <c:v>1.274764609842044</c:v>
                </c:pt>
                <c:pt idx="78">
                  <c:v>1.214620871885012</c:v>
                </c:pt>
                <c:pt idx="79">
                  <c:v>1.158995482337001</c:v>
                </c:pt>
                <c:pt idx="80">
                  <c:v>1.11044732541876</c:v>
                </c:pt>
                <c:pt idx="81">
                  <c:v>1.070161060729441</c:v>
                </c:pt>
                <c:pt idx="82">
                  <c:v>0.831454728867515</c:v>
                </c:pt>
                <c:pt idx="83">
                  <c:v>0.531149104424435</c:v>
                </c:pt>
                <c:pt idx="84">
                  <c:v>0.243980389099848</c:v>
                </c:pt>
                <c:pt idx="85">
                  <c:v>0.00604015767334787</c:v>
                </c:pt>
                <c:pt idx="86">
                  <c:v>-0.169975748906431</c:v>
                </c:pt>
                <c:pt idx="87">
                  <c:v>-0.284843240746146</c:v>
                </c:pt>
                <c:pt idx="88">
                  <c:v>-0.346400166854306</c:v>
                </c:pt>
                <c:pt idx="89">
                  <c:v>-0.365484110828685</c:v>
                </c:pt>
                <c:pt idx="90">
                  <c:v>-0.353449418481999</c:v>
                </c:pt>
                <c:pt idx="91">
                  <c:v>-0.320745890180123</c:v>
                </c:pt>
                <c:pt idx="92">
                  <c:v>-0.276203570461512</c:v>
                </c:pt>
                <c:pt idx="93">
                  <c:v>-0.226775892232414</c:v>
                </c:pt>
                <c:pt idx="94">
                  <c:v>-0.177567507367683</c:v>
                </c:pt>
                <c:pt idx="95">
                  <c:v>-0.132025520127984</c:v>
                </c:pt>
                <c:pt idx="96">
                  <c:v>-0.0922107170618617</c:v>
                </c:pt>
                <c:pt idx="97">
                  <c:v>-0.0590931228434775</c:v>
                </c:pt>
                <c:pt idx="98">
                  <c:v>-0.0328365575780272</c:v>
                </c:pt>
                <c:pt idx="99">
                  <c:v>-0.0130516558625999</c:v>
                </c:pt>
                <c:pt idx="100">
                  <c:v>0.00099267491787794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'Zustandsregler mit I_Regler'!$P$14</c:f>
              <c:strCache>
                <c:ptCount val="1"/>
                <c:pt idx="0">
                  <c:v>x2(k)/fN</c:v>
                </c:pt>
              </c:strCache>
            </c:strRef>
          </c:tx>
          <c:cat>
            <c:numRef>
              <c:f>'Zustandsregler mit I_Regler'!$A$15:$A$115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'Zustandsregler mit I_Regler'!$P$15:$P$115</c:f>
              <c:numCache>
                <c:formatCode>0.00</c:formatCode>
                <c:ptCount val="101"/>
                <c:pt idx="1">
                  <c:v>0.174653633608883</c:v>
                </c:pt>
                <c:pt idx="2">
                  <c:v>0.41255275347841</c:v>
                </c:pt>
                <c:pt idx="3">
                  <c:v>0.650709021968117</c:v>
                </c:pt>
                <c:pt idx="4">
                  <c:v>0.856803068703347</c:v>
                </c:pt>
                <c:pt idx="5">
                  <c:v>1.017532310484873</c:v>
                </c:pt>
                <c:pt idx="6">
                  <c:v>1.130930017674718</c:v>
                </c:pt>
                <c:pt idx="7">
                  <c:v>1.201317414593823</c:v>
                </c:pt>
                <c:pt idx="8">
                  <c:v>1.236029337675656</c:v>
                </c:pt>
                <c:pt idx="9">
                  <c:v>1.243347726850861</c:v>
                </c:pt>
                <c:pt idx="10">
                  <c:v>1.231260807418354</c:v>
                </c:pt>
                <c:pt idx="11">
                  <c:v>1.206783569781712</c:v>
                </c:pt>
                <c:pt idx="12">
                  <c:v>1.175653185121026</c:v>
                </c:pt>
                <c:pt idx="13">
                  <c:v>1.142266600569471</c:v>
                </c:pt>
                <c:pt idx="14">
                  <c:v>1.10976567215044</c:v>
                </c:pt>
                <c:pt idx="15">
                  <c:v>1.080203056116438</c:v>
                </c:pt>
                <c:pt idx="16">
                  <c:v>1.054742808289728</c:v>
                </c:pt>
                <c:pt idx="17">
                  <c:v>1.033865155903781</c:v>
                </c:pt>
                <c:pt idx="18">
                  <c:v>1.017556454671376</c:v>
                </c:pt>
                <c:pt idx="19">
                  <c:v>1.005473796137126</c:v>
                </c:pt>
                <c:pt idx="20">
                  <c:v>0.997079741405088</c:v>
                </c:pt>
                <c:pt idx="21">
                  <c:v>0.991746749395151</c:v>
                </c:pt>
                <c:pt idx="22">
                  <c:v>0.988833473004711</c:v>
                </c:pt>
                <c:pt idx="23">
                  <c:v>0.987736577243332</c:v>
                </c:pt>
                <c:pt idx="24">
                  <c:v>0.9879223921183</c:v>
                </c:pt>
                <c:pt idx="25">
                  <c:v>0.988942798434956</c:v>
                </c:pt>
                <c:pt idx="26">
                  <c:v>0.990439456200841</c:v>
                </c:pt>
                <c:pt idx="27">
                  <c:v>0.916168792842954</c:v>
                </c:pt>
                <c:pt idx="28">
                  <c:v>0.85762227252948</c:v>
                </c:pt>
                <c:pt idx="29">
                  <c:v>0.819953146058477</c:v>
                </c:pt>
                <c:pt idx="30">
                  <c:v>0.80262011969259</c:v>
                </c:pt>
                <c:pt idx="31">
                  <c:v>0.802295150812341</c:v>
                </c:pt>
                <c:pt idx="32">
                  <c:v>0.814625530010975</c:v>
                </c:pt>
                <c:pt idx="33">
                  <c:v>0.835251635146698</c:v>
                </c:pt>
                <c:pt idx="34">
                  <c:v>0.86034452231903</c:v>
                </c:pt>
                <c:pt idx="35">
                  <c:v>0.886839333509202</c:v>
                </c:pt>
                <c:pt idx="36">
                  <c:v>0.912482595738376</c:v>
                </c:pt>
                <c:pt idx="37">
                  <c:v>0.935772619737914</c:v>
                </c:pt>
                <c:pt idx="38">
                  <c:v>0.955845601628579</c:v>
                </c:pt>
                <c:pt idx="39">
                  <c:v>0.972341557763413</c:v>
                </c:pt>
                <c:pt idx="40">
                  <c:v>0.985271311049763</c:v>
                </c:pt>
                <c:pt idx="41">
                  <c:v>0.994896750190472</c:v>
                </c:pt>
                <c:pt idx="42">
                  <c:v>1.001630404934541</c:v>
                </c:pt>
                <c:pt idx="43">
                  <c:v>1.00595625833126</c:v>
                </c:pt>
                <c:pt idx="44">
                  <c:v>1.008371098948033</c:v>
                </c:pt>
                <c:pt idx="45">
                  <c:v>1.009344188741423</c:v>
                </c:pt>
                <c:pt idx="46">
                  <c:v>1.009292270056526</c:v>
                </c:pt>
                <c:pt idx="47">
                  <c:v>1.008566715184922</c:v>
                </c:pt>
                <c:pt idx="48">
                  <c:v>1.007449748129194</c:v>
                </c:pt>
                <c:pt idx="49">
                  <c:v>1.006157000685635</c:v>
                </c:pt>
                <c:pt idx="50">
                  <c:v>1.004844100996596</c:v>
                </c:pt>
                <c:pt idx="51">
                  <c:v>1.003615459930804</c:v>
                </c:pt>
                <c:pt idx="52">
                  <c:v>1.00253387075253</c:v>
                </c:pt>
                <c:pt idx="53">
                  <c:v>1.001629941056708</c:v>
                </c:pt>
                <c:pt idx="54">
                  <c:v>1.000910717551049</c:v>
                </c:pt>
                <c:pt idx="55">
                  <c:v>1.000367138853152</c:v>
                </c:pt>
                <c:pt idx="56">
                  <c:v>0.999980160906768</c:v>
                </c:pt>
                <c:pt idx="57">
                  <c:v>0.99972555014159</c:v>
                </c:pt>
                <c:pt idx="58">
                  <c:v>0.999577439704786</c:v>
                </c:pt>
                <c:pt idx="59">
                  <c:v>0.999510803466804</c:v>
                </c:pt>
                <c:pt idx="60">
                  <c:v>0.999503030394639</c:v>
                </c:pt>
                <c:pt idx="61">
                  <c:v>0.824881153228479</c:v>
                </c:pt>
                <c:pt idx="62">
                  <c:v>0.587037590173702</c:v>
                </c:pt>
                <c:pt idx="63">
                  <c:v>0.348948502987733</c:v>
                </c:pt>
                <c:pt idx="64">
                  <c:v>0.14292434162586</c:v>
                </c:pt>
                <c:pt idx="65">
                  <c:v>-0.0177384144832665</c:v>
                </c:pt>
                <c:pt idx="66">
                  <c:v>-0.131076822361055</c:v>
                </c:pt>
                <c:pt idx="67">
                  <c:v>-0.201414078497892</c:v>
                </c:pt>
                <c:pt idx="68">
                  <c:v>-0.236085644343684</c:v>
                </c:pt>
                <c:pt idx="69">
                  <c:v>-0.243373146977308</c:v>
                </c:pt>
                <c:pt idx="70">
                  <c:v>-0.231263901455698</c:v>
                </c:pt>
                <c:pt idx="71">
                  <c:v>-0.206771660214323</c:v>
                </c:pt>
                <c:pt idx="72">
                  <c:v>-0.175632231519572</c:v>
                </c:pt>
                <c:pt idx="73">
                  <c:v>-0.142241218109591</c:v>
                </c:pt>
                <c:pt idx="74">
                  <c:v>-0.109739243691463</c:v>
                </c:pt>
                <c:pt idx="75">
                  <c:v>-0.0801778978697748</c:v>
                </c:pt>
                <c:pt idx="76">
                  <c:v>-0.0547203586480274</c:v>
                </c:pt>
                <c:pt idx="77">
                  <c:v>-0.0338461655753096</c:v>
                </c:pt>
                <c:pt idx="78">
                  <c:v>-0.017541163560173</c:v>
                </c:pt>
                <c:pt idx="79">
                  <c:v>-0.00546208831864031</c:v>
                </c:pt>
                <c:pt idx="80">
                  <c:v>0.0029287259004174</c:v>
                </c:pt>
                <c:pt idx="81">
                  <c:v>0.0842301300856681</c:v>
                </c:pt>
                <c:pt idx="82">
                  <c:v>0.147396731314197</c:v>
                </c:pt>
                <c:pt idx="83">
                  <c:v>0.187748758318441</c:v>
                </c:pt>
                <c:pt idx="84">
                  <c:v>0.206284237654571</c:v>
                </c:pt>
                <c:pt idx="85">
                  <c:v>0.206743115592074</c:v>
                </c:pt>
                <c:pt idx="86">
                  <c:v>0.19382985648497</c:v>
                </c:pt>
                <c:pt idx="87">
                  <c:v>0.172189977876834</c:v>
                </c:pt>
                <c:pt idx="88">
                  <c:v>0.145873546632303</c:v>
                </c:pt>
                <c:pt idx="89">
                  <c:v>0.118107285544915</c:v>
                </c:pt>
                <c:pt idx="90">
                  <c:v>0.091255314299148</c:v>
                </c:pt>
                <c:pt idx="91">
                  <c:v>0.0668878688601244</c:v>
                </c:pt>
                <c:pt idx="92">
                  <c:v>0.0459043562436268</c:v>
                </c:pt>
                <c:pt idx="93">
                  <c:v>0.028675922926037</c:v>
                </c:pt>
                <c:pt idx="94">
                  <c:v>0.015185908930548</c:v>
                </c:pt>
                <c:pt idx="95">
                  <c:v>0.00515577368401164</c:v>
                </c:pt>
                <c:pt idx="96">
                  <c:v>-0.00184958378334772</c:v>
                </c:pt>
                <c:pt idx="97">
                  <c:v>-0.00633895836551716</c:v>
                </c:pt>
                <c:pt idx="98">
                  <c:v>-0.00883359056404226</c:v>
                </c:pt>
                <c:pt idx="99">
                  <c:v>-0.00982514032931661</c:v>
                </c:pt>
                <c:pt idx="100">
                  <c:v>-0.00974972563924375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502360"/>
        <c:axId val="2081505368"/>
      </c:lineChart>
      <c:catAx>
        <c:axId val="2081502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1505368"/>
        <c:crosses val="autoZero"/>
        <c:auto val="1"/>
        <c:lblAlgn val="ctr"/>
        <c:lblOffset val="100"/>
        <c:noMultiLvlLbl val="0"/>
      </c:catAx>
      <c:valAx>
        <c:axId val="2081505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502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500714545913"/>
          <c:y val="0.0712485939257592"/>
          <c:w val="0.109231279364101"/>
          <c:h val="0.27123423401862"/>
        </c:manualLayout>
      </c:layout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Steuerung!$B$12</c:f>
              <c:strCache>
                <c:ptCount val="1"/>
                <c:pt idx="0">
                  <c:v>ML/MN</c:v>
                </c:pt>
              </c:strCache>
            </c:strRef>
          </c:tx>
          <c:val>
            <c:numRef>
              <c:f>Steuerung!$B$13:$B$113</c:f>
              <c:numCache>
                <c:formatCode>General</c:formatCode>
                <c:ptCount val="101"/>
                <c:pt idx="0">
                  <c:v>0.0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</c:numCache>
            </c:numRef>
          </c:val>
          <c:smooth val="0"/>
        </c:ser>
        <c:ser>
          <c:idx val="8"/>
          <c:order val="1"/>
          <c:tx>
            <c:strRef>
              <c:f>Steuerung!$I$12</c:f>
              <c:strCache>
                <c:ptCount val="1"/>
                <c:pt idx="0">
                  <c:v>f(k)/fN</c:v>
                </c:pt>
              </c:strCache>
            </c:strRef>
          </c:tx>
          <c:val>
            <c:numRef>
              <c:f>Steuerung!$I$13:$I$113</c:f>
              <c:numCache>
                <c:formatCode>0.00</c:formatCode>
                <c:ptCount val="101"/>
                <c:pt idx="0">
                  <c:v>0.0</c:v>
                </c:pt>
                <c:pt idx="1">
                  <c:v>0.146104660927496</c:v>
                </c:pt>
                <c:pt idx="2">
                  <c:v>0.2757888818975</c:v>
                </c:pt>
                <c:pt idx="3">
                  <c:v>0.390898126611759</c:v>
                </c:pt>
                <c:pt idx="4">
                  <c:v>0.493070450427098</c:v>
                </c:pt>
                <c:pt idx="5">
                  <c:v>0.583759810606118</c:v>
                </c:pt>
                <c:pt idx="6">
                  <c:v>0.664256756770763</c:v>
                </c:pt>
                <c:pt idx="7">
                  <c:v>0.735706795993035</c:v>
                </c:pt>
                <c:pt idx="8">
                  <c:v>0.79912669386621</c:v>
                </c:pt>
                <c:pt idx="9">
                  <c:v>0.855418943527988</c:v>
                </c:pt>
                <c:pt idx="10">
                  <c:v>0.905384608536166</c:v>
                </c:pt>
                <c:pt idx="11">
                  <c:v>0.949734722356623</c:v>
                </c:pt>
                <c:pt idx="12">
                  <c:v>0.989100406683362</c:v>
                </c:pt>
                <c:pt idx="13">
                  <c:v>1.024041852578765</c:v>
                </c:pt>
                <c:pt idx="14">
                  <c:v>1.055056292239657</c:v>
                </c:pt>
                <c:pt idx="15">
                  <c:v>1.082585074830925</c:v>
                </c:pt>
                <c:pt idx="16">
                  <c:v>1.107019947078929</c:v>
                </c:pt>
                <c:pt idx="17">
                  <c:v>1.128708628000316</c:v>
                </c:pt>
                <c:pt idx="18">
                  <c:v>1.1479597570971</c:v>
                </c:pt>
                <c:pt idx="19">
                  <c:v>1.165047286432994</c:v>
                </c:pt>
                <c:pt idx="20">
                  <c:v>1.18021437909219</c:v>
                </c:pt>
                <c:pt idx="21">
                  <c:v>1.193676869497362</c:v>
                </c:pt>
                <c:pt idx="22">
                  <c:v>1.205626334828776</c:v>
                </c:pt>
                <c:pt idx="23">
                  <c:v>1.216232821252104</c:v>
                </c:pt>
                <c:pt idx="24">
                  <c:v>1.225647263750423</c:v>
                </c:pt>
                <c:pt idx="25">
                  <c:v>1.234003633995635</c:v>
                </c:pt>
                <c:pt idx="26">
                  <c:v>1.241420846824493</c:v>
                </c:pt>
                <c:pt idx="27">
                  <c:v>1.248004452449206</c:v>
                </c:pt>
                <c:pt idx="28">
                  <c:v>1.253848138483551</c:v>
                </c:pt>
                <c:pt idx="29">
                  <c:v>1.259035063158961</c:v>
                </c:pt>
                <c:pt idx="30">
                  <c:v>1.263639038702867</c:v>
                </c:pt>
                <c:pt idx="31">
                  <c:v>1.267725581719263</c:v>
                </c:pt>
                <c:pt idx="32">
                  <c:v>1.271352845518909</c:v>
                </c:pt>
                <c:pt idx="33">
                  <c:v>1.274572447666599</c:v>
                </c:pt>
                <c:pt idx="34">
                  <c:v>1.277430204521897</c:v>
                </c:pt>
                <c:pt idx="35">
                  <c:v>1.279966783226152</c:v>
                </c:pt>
                <c:pt idx="36">
                  <c:v>1.282218280413868</c:v>
                </c:pt>
                <c:pt idx="37">
                  <c:v>1.284216735883745</c:v>
                </c:pt>
                <c:pt idx="38">
                  <c:v>1.285990588539156</c:v>
                </c:pt>
                <c:pt idx="39">
                  <c:v>1.287565081086295</c:v>
                </c:pt>
                <c:pt idx="40">
                  <c:v>1.288962619249024</c:v>
                </c:pt>
                <c:pt idx="41">
                  <c:v>1.290203090612215</c:v>
                </c:pt>
                <c:pt idx="42">
                  <c:v>1.257587687416824</c:v>
                </c:pt>
                <c:pt idx="43">
                  <c:v>1.228637870702107</c:v>
                </c:pt>
                <c:pt idx="44">
                  <c:v>1.202941671798941</c:v>
                </c:pt>
                <c:pt idx="45">
                  <c:v>1.180133422455676</c:v>
                </c:pt>
                <c:pt idx="46">
                  <c:v>1.159888551217526</c:v>
                </c:pt>
                <c:pt idx="47">
                  <c:v>1.141918964631506</c:v>
                </c:pt>
                <c:pt idx="48">
                  <c:v>1.125968947549454</c:v>
                </c:pt>
                <c:pt idx="49">
                  <c:v>1.111811524188604</c:v>
                </c:pt>
                <c:pt idx="50">
                  <c:v>1.099245228166017</c:v>
                </c:pt>
                <c:pt idx="51">
                  <c:v>1.088091235543042</c:v>
                </c:pt>
                <c:pt idx="52">
                  <c:v>1.078190820081734</c:v>
                </c:pt>
                <c:pt idx="53">
                  <c:v>1.069403094500438</c:v>
                </c:pt>
                <c:pt idx="54">
                  <c:v>1.061603005585587</c:v>
                </c:pt>
                <c:pt idx="55">
                  <c:v>1.054679554629282</c:v>
                </c:pt>
                <c:pt idx="56">
                  <c:v>1.048534217868684</c:v>
                </c:pt>
                <c:pt idx="57">
                  <c:v>1.043079544449388</c:v>
                </c:pt>
                <c:pt idx="58">
                  <c:v>1.038237911961166</c:v>
                </c:pt>
                <c:pt idx="59">
                  <c:v>1.03394042183681</c:v>
                </c:pt>
                <c:pt idx="60">
                  <c:v>1.030125918895116</c:v>
                </c:pt>
                <c:pt idx="61">
                  <c:v>1.026740121075654</c:v>
                </c:pt>
                <c:pt idx="62">
                  <c:v>1.023734846981101</c:v>
                </c:pt>
                <c:pt idx="63">
                  <c:v>1.021067330234686</c:v>
                </c:pt>
                <c:pt idx="64">
                  <c:v>1.018699610895774</c:v>
                </c:pt>
                <c:pt idx="65">
                  <c:v>1.016597995273156</c:v>
                </c:pt>
                <c:pt idx="66">
                  <c:v>1.014732576448955</c:v>
                </c:pt>
                <c:pt idx="67">
                  <c:v>1.013076808689984</c:v>
                </c:pt>
                <c:pt idx="68">
                  <c:v>1.011607129690242</c:v>
                </c:pt>
                <c:pt idx="69">
                  <c:v>1.010302625268908</c:v>
                </c:pt>
                <c:pt idx="70">
                  <c:v>1.009144731752311</c:v>
                </c:pt>
                <c:pt idx="71">
                  <c:v>1.008116971804661</c:v>
                </c:pt>
                <c:pt idx="72">
                  <c:v>1.007204719948293</c:v>
                </c:pt>
                <c:pt idx="73">
                  <c:v>1.00639499443666</c:v>
                </c:pt>
                <c:pt idx="74">
                  <c:v>1.005676272518351</c:v>
                </c:pt>
                <c:pt idx="75">
                  <c:v>1.005038326463255</c:v>
                </c:pt>
                <c:pt idx="76">
                  <c:v>1.004472078017443</c:v>
                </c:pt>
                <c:pt idx="77">
                  <c:v>1.003969469215612</c:v>
                </c:pt>
                <c:pt idx="78">
                  <c:v>1.003523347712682</c:v>
                </c:pt>
                <c:pt idx="79">
                  <c:v>1.003127365002766</c:v>
                </c:pt>
                <c:pt idx="80">
                  <c:v>1.002775886077131</c:v>
                </c:pt>
                <c:pt idx="81">
                  <c:v>1.015950493321151</c:v>
                </c:pt>
                <c:pt idx="82">
                  <c:v>1.02764443016191</c:v>
                </c:pt>
                <c:pt idx="83">
                  <c:v>1.03802410648188</c:v>
                </c:pt>
                <c:pt idx="84">
                  <c:v>1.047237229656259</c:v>
                </c:pt>
                <c:pt idx="85">
                  <c:v>1.055414906494118</c:v>
                </c:pt>
                <c:pt idx="86">
                  <c:v>1.062673508946155</c:v>
                </c:pt>
                <c:pt idx="87">
                  <c:v>1.069116330128913</c:v>
                </c:pt>
                <c:pt idx="88">
                  <c:v>1.074835054231422</c:v>
                </c:pt>
                <c:pt idx="89">
                  <c:v>1.079911061221673</c:v>
                </c:pt>
                <c:pt idx="90">
                  <c:v>1.084416584919482</c:v>
                </c:pt>
                <c:pt idx="91">
                  <c:v>1.088415740915621</c:v>
                </c:pt>
                <c:pt idx="92">
                  <c:v>1.091965438964982</c:v>
                </c:pt>
                <c:pt idx="93">
                  <c:v>1.095116192837499</c:v>
                </c:pt>
                <c:pt idx="94">
                  <c:v>1.097912839151393</c:v>
                </c:pt>
                <c:pt idx="95">
                  <c:v>1.100395175418037</c:v>
                </c:pt>
                <c:pt idx="96">
                  <c:v>1.102598526378107</c:v>
                </c:pt>
                <c:pt idx="97">
                  <c:v>1.104554246688234</c:v>
                </c:pt>
                <c:pt idx="98">
                  <c:v>1.106290167111608</c:v>
                </c:pt>
                <c:pt idx="99">
                  <c:v>1.107830990562016</c:v>
                </c:pt>
                <c:pt idx="100">
                  <c:v>1.109198643637216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729784"/>
        <c:axId val="2084727112"/>
      </c:lineChart>
      <c:catAx>
        <c:axId val="20847297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727112"/>
        <c:crosses val="autoZero"/>
        <c:auto val="1"/>
        <c:lblAlgn val="ctr"/>
        <c:lblOffset val="100"/>
        <c:noMultiLvlLbl val="0"/>
      </c:catAx>
      <c:valAx>
        <c:axId val="2084727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de-DE"/>
          </a:p>
        </c:txPr>
        <c:crossAx val="2084729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25178169454797"/>
          <c:y val="0.0251141552511415"/>
          <c:w val="0.835211888549518"/>
          <c:h val="0.912450652572538"/>
        </c:manualLayout>
      </c:layout>
      <c:lineChart>
        <c:grouping val="standard"/>
        <c:varyColors val="0"/>
        <c:ser>
          <c:idx val="1"/>
          <c:order val="0"/>
          <c:tx>
            <c:strRef>
              <c:f>Zustandsregler_optimal!$C$13</c:f>
              <c:strCache>
                <c:ptCount val="1"/>
                <c:pt idx="0">
                  <c:v>u(k) - uR(k)  [V]</c:v>
                </c:pt>
              </c:strCache>
            </c:strRef>
          </c:tx>
          <c:val>
            <c:numRef>
              <c:f>Zustandsregler_optimal!$C$14:$C$114</c:f>
              <c:numCache>
                <c:formatCode>0</c:formatCode>
                <c:ptCount val="101"/>
                <c:pt idx="0" formatCode="General">
                  <c:v>0.0</c:v>
                </c:pt>
                <c:pt idx="1">
                  <c:v>-7.58434118395926</c:v>
                </c:pt>
                <c:pt idx="2">
                  <c:v>-3.429354774610749</c:v>
                </c:pt>
                <c:pt idx="3">
                  <c:v>-2.036461029937776</c:v>
                </c:pt>
                <c:pt idx="4">
                  <c:v>-1.165131175123525</c:v>
                </c:pt>
                <c:pt idx="5">
                  <c:v>-0.669672397752115</c:v>
                </c:pt>
                <c:pt idx="6">
                  <c:v>-0.384681907698442</c:v>
                </c:pt>
                <c:pt idx="7">
                  <c:v>-0.220989707342958</c:v>
                </c:pt>
                <c:pt idx="8">
                  <c:v>-0.126951687781723</c:v>
                </c:pt>
                <c:pt idx="9">
                  <c:v>-0.0729298619521886</c:v>
                </c:pt>
                <c:pt idx="10">
                  <c:v>-0.0418959694396554</c:v>
                </c:pt>
                <c:pt idx="11">
                  <c:v>-0.0240679501981188</c:v>
                </c:pt>
                <c:pt idx="12">
                  <c:v>-0.013826299599878</c:v>
                </c:pt>
                <c:pt idx="13">
                  <c:v>-0.00794278528511685</c:v>
                </c:pt>
                <c:pt idx="14">
                  <c:v>-0.00456288666592541</c:v>
                </c:pt>
                <c:pt idx="15">
                  <c:v>-0.00262123851757372</c:v>
                </c:pt>
                <c:pt idx="16">
                  <c:v>-0.00150582117616876</c:v>
                </c:pt>
                <c:pt idx="17">
                  <c:v>-0.000865048105846258</c:v>
                </c:pt>
                <c:pt idx="18">
                  <c:v>-0.000496943619382552</c:v>
                </c:pt>
                <c:pt idx="19">
                  <c:v>-0.000285478875886841</c:v>
                </c:pt>
                <c:pt idx="20">
                  <c:v>-0.000163998863047835</c:v>
                </c:pt>
                <c:pt idx="21">
                  <c:v>-9.42123195540515E-5</c:v>
                </c:pt>
                <c:pt idx="22">
                  <c:v>-5.41220895730588E-5</c:v>
                </c:pt>
                <c:pt idx="23">
                  <c:v>-3.10914813860798E-5</c:v>
                </c:pt>
                <c:pt idx="24">
                  <c:v>-1.7861102969353E-5</c:v>
                </c:pt>
                <c:pt idx="25">
                  <c:v>-1.02606561366568E-5</c:v>
                </c:pt>
                <c:pt idx="26">
                  <c:v>-5.89443241749175E-6</c:v>
                </c:pt>
                <c:pt idx="27">
                  <c:v>-3.3861707342722E-6</c:v>
                </c:pt>
                <c:pt idx="28">
                  <c:v>-1.94525128621641E-6</c:v>
                </c:pt>
                <c:pt idx="29">
                  <c:v>-1.11748723365536E-6</c:v>
                </c:pt>
                <c:pt idx="30">
                  <c:v>-6.4196215996939E-7</c:v>
                </c:pt>
                <c:pt idx="31">
                  <c:v>-3.68787582015153E-7</c:v>
                </c:pt>
                <c:pt idx="32">
                  <c:v>-2.11857160950216E-7</c:v>
                </c:pt>
                <c:pt idx="33">
                  <c:v>-1.21705444637346E-7</c:v>
                </c:pt>
                <c:pt idx="34">
                  <c:v>-6.991604715148E-8</c:v>
                </c:pt>
                <c:pt idx="35">
                  <c:v>-4.01646258624981E-8</c:v>
                </c:pt>
                <c:pt idx="36">
                  <c:v>-2.30733463403517E-8</c:v>
                </c:pt>
                <c:pt idx="37">
                  <c:v>-1.32549301757322E-8</c:v>
                </c:pt>
                <c:pt idx="38">
                  <c:v>-7.61455106562829E-9</c:v>
                </c:pt>
                <c:pt idx="39">
                  <c:v>-4.37432616862942E-9</c:v>
                </c:pt>
                <c:pt idx="40">
                  <c:v>-2.51291629206209E-9</c:v>
                </c:pt>
                <c:pt idx="41">
                  <c:v>-1.44359337815215E-9</c:v>
                </c:pt>
                <c:pt idx="42">
                  <c:v>-8.29300143434005E-10</c:v>
                </c:pt>
                <c:pt idx="43">
                  <c:v>-4.76407510804733E-10</c:v>
                </c:pt>
                <c:pt idx="44">
                  <c:v>-2.73681511028489E-10</c:v>
                </c:pt>
                <c:pt idx="45">
                  <c:v>-1.57221638576427E-10</c:v>
                </c:pt>
                <c:pt idx="46">
                  <c:v>-9.03190118461587E-11</c:v>
                </c:pt>
                <c:pt idx="47">
                  <c:v>-5.18855036414157E-11</c:v>
                </c:pt>
                <c:pt idx="48">
                  <c:v>-2.98066313292804E-11</c:v>
                </c:pt>
                <c:pt idx="49">
                  <c:v>-1.7122995997874E-11</c:v>
                </c:pt>
                <c:pt idx="50">
                  <c:v>-9.83663630767927E-12</c:v>
                </c:pt>
                <c:pt idx="51">
                  <c:v>-5.65084602376638E-12</c:v>
                </c:pt>
                <c:pt idx="52">
                  <c:v>-3.24623781804229E-12</c:v>
                </c:pt>
                <c:pt idx="53">
                  <c:v>-1.864864115385E-12</c:v>
                </c:pt>
                <c:pt idx="54">
                  <c:v>-1.0713072682235E-12</c:v>
                </c:pt>
                <c:pt idx="55">
                  <c:v>-6.15433185442334E-13</c:v>
                </c:pt>
                <c:pt idx="56">
                  <c:v>-3.53547499375951E-13</c:v>
                </c:pt>
                <c:pt idx="57">
                  <c:v>-2.03102200647742E-13</c:v>
                </c:pt>
                <c:pt idx="58">
                  <c:v>-1.16675988320571E-13</c:v>
                </c:pt>
                <c:pt idx="59">
                  <c:v>-6.7026778671851E-14</c:v>
                </c:pt>
                <c:pt idx="60">
                  <c:v>-3.85048296893938E-14</c:v>
                </c:pt>
                <c:pt idx="61">
                  <c:v>-2.21198443187585E-14</c:v>
                </c:pt>
                <c:pt idx="62">
                  <c:v>-1.2707172493244E-14</c:v>
                </c:pt>
                <c:pt idx="63">
                  <c:v>-7.29988106815578E-15</c:v>
                </c:pt>
                <c:pt idx="64">
                  <c:v>-4.1935579010634E-15</c:v>
                </c:pt>
                <c:pt idx="65">
                  <c:v>-2.40907046366636E-15</c:v>
                </c:pt>
                <c:pt idx="66">
                  <c:v>-1.38393713305781E-15</c:v>
                </c:pt>
                <c:pt idx="67">
                  <c:v>-7.95029459346499E-16</c:v>
                </c:pt>
                <c:pt idx="68">
                  <c:v>-4.56720053339577E-16</c:v>
                </c:pt>
                <c:pt idx="69">
                  <c:v>-2.62371670219574E-16</c:v>
                </c:pt>
                <c:pt idx="70">
                  <c:v>-1.50724481726723E-16</c:v>
                </c:pt>
                <c:pt idx="71">
                  <c:v>-8.65865944016635E-17</c:v>
                </c:pt>
                <c:pt idx="72">
                  <c:v>-4.97413442341195E-17</c:v>
                </c:pt>
                <c:pt idx="73">
                  <c:v>-2.85748774774497E-17</c:v>
                </c:pt>
                <c:pt idx="74">
                  <c:v>-1.64153911685237E-17</c:v>
                </c:pt>
                <c:pt idx="75">
                  <c:v>-9.4301390243335E-18</c:v>
                </c:pt>
                <c:pt idx="76">
                  <c:v>-5.41732579536544E-18</c:v>
                </c:pt>
                <c:pt idx="77">
                  <c:v>-3.11208760522022E-18</c:v>
                </c:pt>
                <c:pt idx="78">
                  <c:v>-1.7877989303968E-18</c:v>
                </c:pt>
                <c:pt idx="79">
                  <c:v>-1.02703568182547E-18</c:v>
                </c:pt>
                <c:pt idx="80">
                  <c:v>-5.90000516170234E-19</c:v>
                </c:pt>
                <c:pt idx="81">
                  <c:v>-3.38937210499273E-19</c:v>
                </c:pt>
                <c:pt idx="82">
                  <c:v>-1.94709037555964E-19</c:v>
                </c:pt>
                <c:pt idx="83">
                  <c:v>-1.11854373410709E-19</c:v>
                </c:pt>
                <c:pt idx="84">
                  <c:v>-6.42569087092648E-20</c:v>
                </c:pt>
                <c:pt idx="85">
                  <c:v>-3.69136243042552E-20</c:v>
                </c:pt>
                <c:pt idx="86">
                  <c:v>-2.12057456022504E-20</c:v>
                </c:pt>
                <c:pt idx="87">
                  <c:v>-1.21820508016474E-20</c:v>
                </c:pt>
                <c:pt idx="88">
                  <c:v>-6.99821475356042E-21</c:v>
                </c:pt>
                <c:pt idx="89">
                  <c:v>-4.02025985069179E-21</c:v>
                </c:pt>
                <c:pt idx="90">
                  <c:v>-2.30951604605468E-21</c:v>
                </c:pt>
                <c:pt idx="91">
                  <c:v>-1.32674617190881E-21</c:v>
                </c:pt>
                <c:pt idx="92">
                  <c:v>-7.62175005314087E-22</c:v>
                </c:pt>
                <c:pt idx="93">
                  <c:v>-4.37846176627562E-22</c:v>
                </c:pt>
                <c:pt idx="94">
                  <c:v>-2.51529206613607E-22</c:v>
                </c:pt>
                <c:pt idx="95">
                  <c:v>-1.44495818753001E-22</c:v>
                </c:pt>
                <c:pt idx="96">
                  <c:v>-8.30084184584338E-23</c:v>
                </c:pt>
                <c:pt idx="97">
                  <c:v>-4.76857918411382E-23</c:v>
                </c:pt>
                <c:pt idx="98">
                  <c:v>-2.73940256391589E-23</c:v>
                </c:pt>
                <c:pt idx="99">
                  <c:v>-1.57370279855876E-23</c:v>
                </c:pt>
                <c:pt idx="100">
                  <c:v>-9.04044017047105E-24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Zustandsregler_optimal!$D$13</c:f>
              <c:strCache>
                <c:ptCount val="1"/>
                <c:pt idx="0">
                  <c:v>x1(k)  [A]</c:v>
                </c:pt>
              </c:strCache>
            </c:strRef>
          </c:tx>
          <c:val>
            <c:numRef>
              <c:f>Zustandsregler_optimal!$D$14:$D$114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-2.865450764552685</c:v>
                </c:pt>
                <c:pt idx="2">
                  <c:v>-1.440995300822508</c:v>
                </c:pt>
                <c:pt idx="3">
                  <c:v>-0.842490667333387</c:v>
                </c:pt>
                <c:pt idx="4">
                  <c:v>-0.482934002499522</c:v>
                </c:pt>
                <c:pt idx="5">
                  <c:v>-0.277506018745764</c:v>
                </c:pt>
                <c:pt idx="6">
                  <c:v>-0.159413315218959</c:v>
                </c:pt>
                <c:pt idx="7">
                  <c:v>-0.0915784484264329</c:v>
                </c:pt>
                <c:pt idx="8">
                  <c:v>-0.0526089837519222</c:v>
                </c:pt>
                <c:pt idx="9">
                  <c:v>-0.0302222504505415</c:v>
                </c:pt>
                <c:pt idx="10">
                  <c:v>-0.0173617563011186</c:v>
                </c:pt>
                <c:pt idx="11">
                  <c:v>-0.00997379679299127</c:v>
                </c:pt>
                <c:pt idx="12">
                  <c:v>-0.00572964051729768</c:v>
                </c:pt>
                <c:pt idx="13">
                  <c:v>-0.00329150283923949</c:v>
                </c:pt>
                <c:pt idx="14">
                  <c:v>-0.00189086748249249</c:v>
                </c:pt>
                <c:pt idx="15">
                  <c:v>-0.00108624540551254</c:v>
                </c:pt>
                <c:pt idx="16">
                  <c:v>-0.000624014687397038</c:v>
                </c:pt>
                <c:pt idx="17">
                  <c:v>-0.000358477309189173</c:v>
                </c:pt>
                <c:pt idx="18">
                  <c:v>-0.000205934225265672</c:v>
                </c:pt>
                <c:pt idx="19">
                  <c:v>-0.000118302899649899</c:v>
                </c:pt>
                <c:pt idx="20">
                  <c:v>-6.79613893587556E-5</c:v>
                </c:pt>
                <c:pt idx="21">
                  <c:v>-3.90417348792037E-5</c:v>
                </c:pt>
                <c:pt idx="22">
                  <c:v>-2.24282798918627E-5</c:v>
                </c:pt>
                <c:pt idx="23">
                  <c:v>-1.28843592751222E-5</c:v>
                </c:pt>
                <c:pt idx="24">
                  <c:v>-7.40166944281172E-6</c:v>
                </c:pt>
                <c:pt idx="25">
                  <c:v>-4.25203220205399E-6</c:v>
                </c:pt>
                <c:pt idx="26">
                  <c:v>-2.4426621570979E-6</c:v>
                </c:pt>
                <c:pt idx="27">
                  <c:v>-1.40323453120509E-6</c:v>
                </c:pt>
                <c:pt idx="28">
                  <c:v>-8.06115223034278E-7</c:v>
                </c:pt>
                <c:pt idx="29">
                  <c:v>-4.63088484752112E-7</c:v>
                </c:pt>
                <c:pt idx="30">
                  <c:v>-2.66030138846401E-7</c:v>
                </c:pt>
                <c:pt idx="31">
                  <c:v>-1.52826159805117E-7</c:v>
                </c:pt>
                <c:pt idx="32">
                  <c:v>-8.7793944032274E-8</c:v>
                </c:pt>
                <c:pt idx="33">
                  <c:v>-5.04349295864726E-8</c:v>
                </c:pt>
                <c:pt idx="34">
                  <c:v>-2.89733210010176E-8</c:v>
                </c:pt>
                <c:pt idx="35">
                  <c:v>-1.66442847588145E-8</c:v>
                </c:pt>
                <c:pt idx="36">
                  <c:v>-9.56163137538751E-9</c:v>
                </c:pt>
                <c:pt idx="37">
                  <c:v>-5.49286412024273E-9</c:v>
                </c:pt>
                <c:pt idx="38">
                  <c:v>-3.15548205728932E-9</c:v>
                </c:pt>
                <c:pt idx="39">
                  <c:v>-1.81272771288485E-9</c:v>
                </c:pt>
                <c:pt idx="40">
                  <c:v>-1.041356503191E-9</c:v>
                </c:pt>
                <c:pt idx="41">
                  <c:v>-5.98227389050274E-10</c:v>
                </c:pt>
                <c:pt idx="42">
                  <c:v>-3.43663296779998E-10</c:v>
                </c:pt>
                <c:pt idx="43">
                  <c:v>-1.97424029249473E-10</c:v>
                </c:pt>
                <c:pt idx="44">
                  <c:v>-1.13414052912517E-10</c:v>
                </c:pt>
                <c:pt idx="45">
                  <c:v>-6.51528967722023E-11</c:v>
                </c:pt>
                <c:pt idx="46">
                  <c:v>-3.74283419805445E-11</c:v>
                </c:pt>
                <c:pt idx="47">
                  <c:v>-2.15014351289793E-11</c:v>
                </c:pt>
                <c:pt idx="48">
                  <c:v>-1.23519153706038E-11</c:v>
                </c:pt>
                <c:pt idx="49">
                  <c:v>-7.09579674134999E-12</c:v>
                </c:pt>
                <c:pt idx="50">
                  <c:v>-4.0763177113714E-12</c:v>
                </c:pt>
                <c:pt idx="51">
                  <c:v>-2.34171956860181E-12</c:v>
                </c:pt>
                <c:pt idx="52">
                  <c:v>-1.34524610843637E-12</c:v>
                </c:pt>
                <c:pt idx="53">
                  <c:v>-7.72802651746949E-13</c:v>
                </c:pt>
                <c:pt idx="54">
                  <c:v>-4.43951433720401E-13</c:v>
                </c:pt>
                <c:pt idx="55">
                  <c:v>-2.55036489661188E-13</c:v>
                </c:pt>
                <c:pt idx="56">
                  <c:v>-1.46510645350602E-13</c:v>
                </c:pt>
                <c:pt idx="57">
                  <c:v>-8.41658745756988E-14</c:v>
                </c:pt>
                <c:pt idx="58">
                  <c:v>-4.8350714899524E-14</c:v>
                </c:pt>
                <c:pt idx="59">
                  <c:v>-2.77760035534645E-14</c:v>
                </c:pt>
                <c:pt idx="60">
                  <c:v>-1.59564625880985E-14</c:v>
                </c:pt>
                <c:pt idx="61">
                  <c:v>-9.16649862300402E-15</c:v>
                </c:pt>
                <c:pt idx="62">
                  <c:v>-5.26587246650811E-15</c:v>
                </c:pt>
                <c:pt idx="63">
                  <c:v>-3.0250823104843E-15</c:v>
                </c:pt>
                <c:pt idx="64">
                  <c:v>-1.73781705565561E-15</c:v>
                </c:pt>
                <c:pt idx="65">
                  <c:v>-9.98322626944995E-16</c:v>
                </c:pt>
                <c:pt idx="66">
                  <c:v>-5.73505746319403E-16</c:v>
                </c:pt>
                <c:pt idx="67">
                  <c:v>-3.2946147085525E-16</c:v>
                </c:pt>
                <c:pt idx="68">
                  <c:v>-1.89265515602441E-16</c:v>
                </c:pt>
                <c:pt idx="69">
                  <c:v>-1.08727236915652E-16</c:v>
                </c:pt>
                <c:pt idx="70">
                  <c:v>-6.24604646529695E-17</c:v>
                </c:pt>
                <c:pt idx="71">
                  <c:v>-3.58816222626111E-17</c:v>
                </c:pt>
                <c:pt idx="72">
                  <c:v>-2.06128920646046E-17</c:v>
                </c:pt>
                <c:pt idx="73">
                  <c:v>-1.18414746177677E-17</c:v>
                </c:pt>
                <c:pt idx="74">
                  <c:v>-6.80256417603895E-18</c:v>
                </c:pt>
                <c:pt idx="75">
                  <c:v>-3.90786459143313E-18</c:v>
                </c:pt>
                <c:pt idx="76">
                  <c:v>-2.24494841500623E-18</c:v>
                </c:pt>
                <c:pt idx="77">
                  <c:v>-1.28965404714567E-18</c:v>
                </c:pt>
                <c:pt idx="78">
                  <c:v>-7.40866716670006E-19</c:v>
                </c:pt>
                <c:pt idx="79">
                  <c:v>-4.25605217991766E-19</c:v>
                </c:pt>
                <c:pt idx="80">
                  <c:v>-2.44497151115106E-19</c:v>
                </c:pt>
                <c:pt idx="81">
                  <c:v>-1.40456118431704E-19</c:v>
                </c:pt>
                <c:pt idx="82">
                  <c:v>-8.06877344579502E-20</c:v>
                </c:pt>
                <c:pt idx="83">
                  <c:v>-4.63526300217556E-20</c:v>
                </c:pt>
                <c:pt idx="84">
                  <c:v>-2.66281650410381E-20</c:v>
                </c:pt>
                <c:pt idx="85">
                  <c:v>-1.52970645488718E-20</c:v>
                </c:pt>
                <c:pt idx="86">
                  <c:v>-8.78769466283982E-21</c:v>
                </c:pt>
                <c:pt idx="87">
                  <c:v>-5.04826120335612E-21</c:v>
                </c:pt>
                <c:pt idx="88">
                  <c:v>-2.90007131051989E-21</c:v>
                </c:pt>
                <c:pt idx="89">
                  <c:v>-1.66600206829815E-21</c:v>
                </c:pt>
                <c:pt idx="90">
                  <c:v>-9.57067118144803E-22</c:v>
                </c:pt>
                <c:pt idx="91">
                  <c:v>-5.49805721171576E-22</c:v>
                </c:pt>
                <c:pt idx="92">
                  <c:v>-3.1584653291501E-22</c:v>
                </c:pt>
                <c:pt idx="93">
                  <c:v>-1.81444151111882E-22</c:v>
                </c:pt>
                <c:pt idx="94">
                  <c:v>-1.04234102774116E-22</c:v>
                </c:pt>
                <c:pt idx="95">
                  <c:v>-5.98792968224455E-23</c:v>
                </c:pt>
                <c:pt idx="96">
                  <c:v>-3.43988204678143E-23</c:v>
                </c:pt>
                <c:pt idx="97">
                  <c:v>-1.97610678877139E-23</c:v>
                </c:pt>
                <c:pt idx="98">
                  <c:v>-1.13521277402001E-23</c:v>
                </c:pt>
                <c:pt idx="99">
                  <c:v>-6.52144939545219E-24</c:v>
                </c:pt>
                <c:pt idx="100">
                  <c:v>-3.74637276735699E-24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Zustandsregler_optimal!$F$13</c:f>
              <c:strCache>
                <c:ptCount val="1"/>
                <c:pt idx="0">
                  <c:v>f(k)=x2(k)/2π </c:v>
                </c:pt>
              </c:strCache>
            </c:strRef>
          </c:tx>
          <c:val>
            <c:numRef>
              <c:f>Zustandsregler_optimal!$F$14:$F$114</c:f>
              <c:numCache>
                <c:formatCode>0.00</c:formatCode>
                <c:ptCount val="101"/>
                <c:pt idx="1">
                  <c:v>4.32852062051354</c:v>
                </c:pt>
                <c:pt idx="2">
                  <c:v>2.503951938279194</c:v>
                </c:pt>
                <c:pt idx="3">
                  <c:v>1.437201695711573</c:v>
                </c:pt>
                <c:pt idx="4">
                  <c:v>0.825717219638847</c:v>
                </c:pt>
                <c:pt idx="5">
                  <c:v>0.474342867032666</c:v>
                </c:pt>
                <c:pt idx="6">
                  <c:v>0.272495892019185</c:v>
                </c:pt>
                <c:pt idx="7">
                  <c:v>0.156540504190294</c:v>
                </c:pt>
                <c:pt idx="8">
                  <c:v>0.0899277233553094</c:v>
                </c:pt>
                <c:pt idx="9">
                  <c:v>0.0516607202309925</c:v>
                </c:pt>
                <c:pt idx="10">
                  <c:v>0.029677500162527</c:v>
                </c:pt>
                <c:pt idx="11">
                  <c:v>0.0170488141001408</c:v>
                </c:pt>
                <c:pt idx="12">
                  <c:v>0.00979402108148543</c:v>
                </c:pt>
                <c:pt idx="13">
                  <c:v>0.00562636488265267</c:v>
                </c:pt>
                <c:pt idx="14">
                  <c:v>0.00323217415292451</c:v>
                </c:pt>
                <c:pt idx="15">
                  <c:v>0.00185678497088633</c:v>
                </c:pt>
                <c:pt idx="16">
                  <c:v>0.00106666604736936</c:v>
                </c:pt>
                <c:pt idx="17">
                  <c:v>0.000612766946334914</c:v>
                </c:pt>
                <c:pt idx="18">
                  <c:v>0.000352015826740376</c:v>
                </c:pt>
                <c:pt idx="19">
                  <c:v>0.000202222301670925</c:v>
                </c:pt>
                <c:pt idx="20">
                  <c:v>0.000116170513331059</c:v>
                </c:pt>
                <c:pt idx="21">
                  <c:v>6.67363987853474E-5</c:v>
                </c:pt>
                <c:pt idx="22">
                  <c:v>3.83380153459837E-5</c:v>
                </c:pt>
                <c:pt idx="23">
                  <c:v>2.20240145920428E-5</c:v>
                </c:pt>
                <c:pt idx="24">
                  <c:v>1.26521212528371E-5</c:v>
                </c:pt>
                <c:pt idx="25">
                  <c:v>7.26825581809806E-6</c:v>
                </c:pt>
                <c:pt idx="26">
                  <c:v>4.17539016435449E-6</c:v>
                </c:pt>
                <c:pt idx="27">
                  <c:v>2.39863365584596E-6</c:v>
                </c:pt>
                <c:pt idx="28">
                  <c:v>1.37794150689782E-6</c:v>
                </c:pt>
                <c:pt idx="29">
                  <c:v>7.91585155909178E-7</c:v>
                </c:pt>
                <c:pt idx="30">
                  <c:v>4.54741406597475E-7</c:v>
                </c:pt>
                <c:pt idx="31">
                  <c:v>2.61234998320226E-7</c:v>
                </c:pt>
                <c:pt idx="32">
                  <c:v>1.50071498564405E-7</c:v>
                </c:pt>
                <c:pt idx="33">
                  <c:v>8.62114755916401E-8</c:v>
                </c:pt>
                <c:pt idx="34">
                  <c:v>4.95258499767578E-8</c:v>
                </c:pt>
                <c:pt idx="35">
                  <c:v>2.84510826324165E-8</c:v>
                </c:pt>
                <c:pt idx="36">
                  <c:v>1.63442748248939E-8</c:v>
                </c:pt>
                <c:pt idx="37">
                  <c:v>9.38928486493842E-9</c:v>
                </c:pt>
                <c:pt idx="38">
                  <c:v>5.39385633314777E-9</c:v>
                </c:pt>
                <c:pt idx="39">
                  <c:v>3.09860511861561E-9</c:v>
                </c:pt>
                <c:pt idx="40">
                  <c:v>1.78005365513836E-9</c:v>
                </c:pt>
                <c:pt idx="41">
                  <c:v>1.02258625861532E-9</c:v>
                </c:pt>
                <c:pt idx="42">
                  <c:v>5.87444458929868E-10</c:v>
                </c:pt>
                <c:pt idx="43">
                  <c:v>3.37468833968775E-10</c:v>
                </c:pt>
                <c:pt idx="44">
                  <c:v>1.93865500251217E-10</c:v>
                </c:pt>
                <c:pt idx="45">
                  <c:v>1.1136978708716E-10</c:v>
                </c:pt>
                <c:pt idx="46">
                  <c:v>6.39785287210303E-11</c:v>
                </c:pt>
                <c:pt idx="47">
                  <c:v>3.67537035345523E-11</c:v>
                </c:pt>
                <c:pt idx="48">
                  <c:v>2.1113876022312E-11</c:v>
                </c:pt>
                <c:pt idx="49">
                  <c:v>1.21292745441685E-11</c:v>
                </c:pt>
                <c:pt idx="50">
                  <c:v>6.96789641145695E-12</c:v>
                </c:pt>
                <c:pt idx="51">
                  <c:v>4.00284289254027E-12</c:v>
                </c:pt>
                <c:pt idx="52">
                  <c:v>2.29951053750093E-12</c:v>
                </c:pt>
                <c:pt idx="53">
                  <c:v>1.32099831395634E-12</c:v>
                </c:pt>
                <c:pt idx="54">
                  <c:v>7.58873037116831E-13</c:v>
                </c:pt>
                <c:pt idx="55">
                  <c:v>4.35949297117693E-13</c:v>
                </c:pt>
                <c:pt idx="56">
                  <c:v>2.50439507482662E-13</c:v>
                </c:pt>
                <c:pt idx="57">
                  <c:v>1.43869820006214E-13</c:v>
                </c:pt>
                <c:pt idx="58">
                  <c:v>8.26488013679451E-14</c:v>
                </c:pt>
                <c:pt idx="59">
                  <c:v>4.74792028464552E-14</c:v>
                </c:pt>
                <c:pt idx="60">
                  <c:v>2.72753465945502E-14</c:v>
                </c:pt>
                <c:pt idx="61">
                  <c:v>1.56688505124804E-14</c:v>
                </c:pt>
                <c:pt idx="62">
                  <c:v>9.00127430210228E-15</c:v>
                </c:pt>
                <c:pt idx="63">
                  <c:v>5.17095615898252E-15</c:v>
                </c:pt>
                <c:pt idx="64">
                  <c:v>2.97055580140184E-15</c:v>
                </c:pt>
                <c:pt idx="65">
                  <c:v>1.70649324765856E-15</c:v>
                </c:pt>
                <c:pt idx="66">
                  <c:v>9.80328059459448E-16</c:v>
                </c:pt>
                <c:pt idx="67">
                  <c:v>5.63168418909451E-16</c:v>
                </c:pt>
                <c:pt idx="68">
                  <c:v>3.23522993141553E-16</c:v>
                </c:pt>
                <c:pt idx="69">
                  <c:v>1.85854042195676E-16</c:v>
                </c:pt>
                <c:pt idx="70">
                  <c:v>1.06767450019723E-16</c:v>
                </c:pt>
                <c:pt idx="71">
                  <c:v>6.13346271571131E-17</c:v>
                </c:pt>
                <c:pt idx="72">
                  <c:v>3.52348631329785E-17</c:v>
                </c:pt>
                <c:pt idx="73">
                  <c:v>2.02413487705655E-17</c:v>
                </c:pt>
                <c:pt idx="74">
                  <c:v>1.16280343847341E-17</c:v>
                </c:pt>
                <c:pt idx="75">
                  <c:v>6.67994930501766E-18</c:v>
                </c:pt>
                <c:pt idx="76">
                  <c:v>3.83742610670188E-18</c:v>
                </c:pt>
                <c:pt idx="77">
                  <c:v>2.2044836647691E-18</c:v>
                </c:pt>
                <c:pt idx="78">
                  <c:v>1.26640828855219E-18</c:v>
                </c:pt>
                <c:pt idx="79">
                  <c:v>7.27512740940025E-19</c:v>
                </c:pt>
                <c:pt idx="80">
                  <c:v>4.17933768291392E-19</c:v>
                </c:pt>
                <c:pt idx="81">
                  <c:v>2.40090138425001E-19</c:v>
                </c:pt>
                <c:pt idx="82">
                  <c:v>1.37924424735037E-19</c:v>
                </c:pt>
                <c:pt idx="83">
                  <c:v>7.92333540364599E-20</c:v>
                </c:pt>
                <c:pt idx="84">
                  <c:v>4.55171330525929E-20</c:v>
                </c:pt>
                <c:pt idx="85">
                  <c:v>2.61481976438115E-20</c:v>
                </c:pt>
                <c:pt idx="86">
                  <c:v>1.50213379922196E-20</c:v>
                </c:pt>
                <c:pt idx="87">
                  <c:v>8.62929820824202E-21</c:v>
                </c:pt>
                <c:pt idx="88">
                  <c:v>4.95726729571882E-21</c:v>
                </c:pt>
                <c:pt idx="89">
                  <c:v>2.84779809993491E-21</c:v>
                </c:pt>
                <c:pt idx="90">
                  <c:v>1.63597271121466E-21</c:v>
                </c:pt>
                <c:pt idx="91">
                  <c:v>9.39816173028637E-22</c:v>
                </c:pt>
                <c:pt idx="92">
                  <c:v>5.39895582017626E-22</c:v>
                </c:pt>
                <c:pt idx="93">
                  <c:v>3.10153461759238E-22</c:v>
                </c:pt>
                <c:pt idx="94">
                  <c:v>1.78173656249883E-22</c:v>
                </c:pt>
                <c:pt idx="95">
                  <c:v>1.02355303730561E-22</c:v>
                </c:pt>
                <c:pt idx="96">
                  <c:v>5.87999843651531E-23</c:v>
                </c:pt>
                <c:pt idx="97">
                  <c:v>3.37787885466452E-23</c:v>
                </c:pt>
                <c:pt idx="98">
                  <c:v>1.94048785556339E-23</c:v>
                </c:pt>
                <c:pt idx="99">
                  <c:v>1.11475078876474E-23</c:v>
                </c:pt>
                <c:pt idx="100">
                  <c:v>6.4039015626347E-24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810536"/>
        <c:axId val="2071807368"/>
      </c:lineChart>
      <c:catAx>
        <c:axId val="20718105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807368"/>
        <c:crosses val="autoZero"/>
        <c:auto val="1"/>
        <c:lblAlgn val="ctr"/>
        <c:lblOffset val="100"/>
        <c:noMultiLvlLbl val="0"/>
      </c:catAx>
      <c:valAx>
        <c:axId val="2071807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810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30278999822531"/>
          <c:y val="0.0190350142402412"/>
          <c:w val="0.835211888549518"/>
          <c:h val="0.912450652572538"/>
        </c:manualLayout>
      </c:layout>
      <c:lineChart>
        <c:grouping val="standard"/>
        <c:varyColors val="0"/>
        <c:ser>
          <c:idx val="3"/>
          <c:order val="0"/>
          <c:tx>
            <c:strRef>
              <c:f>Zustandsregler_optimal!$G$13</c:f>
              <c:strCache>
                <c:ptCount val="1"/>
                <c:pt idx="0">
                  <c:v>u(k)/uN</c:v>
                </c:pt>
              </c:strCache>
            </c:strRef>
          </c:tx>
          <c:cat>
            <c:numRef>
              <c:f>Zustandsregler_optimal!$A$14:$A$114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Zustandsregler_optimal!$G$14:$G$114</c:f>
              <c:numCache>
                <c:formatCode>General</c:formatCode>
                <c:ptCount val="101"/>
                <c:pt idx="0">
                  <c:v>0.0</c:v>
                </c:pt>
                <c:pt idx="1">
                  <c:v>-0.316014215998302</c:v>
                </c:pt>
                <c:pt idx="2" formatCode="0.000">
                  <c:v>-0.142889782275448</c:v>
                </c:pt>
                <c:pt idx="3" formatCode="0.000">
                  <c:v>-0.084852542914074</c:v>
                </c:pt>
                <c:pt idx="4" formatCode="0.000">
                  <c:v>-0.0485471322968135</c:v>
                </c:pt>
                <c:pt idx="5" formatCode="0.000">
                  <c:v>-0.0279030165730048</c:v>
                </c:pt>
                <c:pt idx="6" formatCode="0.000">
                  <c:v>-0.0160284128207684</c:v>
                </c:pt>
                <c:pt idx="7" formatCode="0.000">
                  <c:v>-0.00920790447262324</c:v>
                </c:pt>
                <c:pt idx="8" formatCode="0.000">
                  <c:v>-0.00528965365757177</c:v>
                </c:pt>
                <c:pt idx="9" formatCode="0.000">
                  <c:v>-0.00303874424800786</c:v>
                </c:pt>
                <c:pt idx="10" formatCode="0.000">
                  <c:v>-0.00174566539331898</c:v>
                </c:pt>
                <c:pt idx="11" formatCode="0.000">
                  <c:v>-0.00100283125825495</c:v>
                </c:pt>
                <c:pt idx="12" formatCode="0.000">
                  <c:v>-0.000576095816661585</c:v>
                </c:pt>
                <c:pt idx="13" formatCode="0.000">
                  <c:v>-0.000330949386879869</c:v>
                </c:pt>
                <c:pt idx="14" formatCode="0.000">
                  <c:v>-0.000190120277746892</c:v>
                </c:pt>
                <c:pt idx="15" formatCode="0.000">
                  <c:v>-0.000109218271565572</c:v>
                </c:pt>
                <c:pt idx="16" formatCode="0.000">
                  <c:v>-6.27425490070315E-5</c:v>
                </c:pt>
                <c:pt idx="17" formatCode="0.000">
                  <c:v>-3.60436710769274E-5</c:v>
                </c:pt>
                <c:pt idx="18" formatCode="0.000">
                  <c:v>-2.07059841409397E-5</c:v>
                </c:pt>
                <c:pt idx="19" formatCode="0.000">
                  <c:v>-1.18949531619517E-5</c:v>
                </c:pt>
                <c:pt idx="20" formatCode="0.000">
                  <c:v>-6.83328596032645E-6</c:v>
                </c:pt>
                <c:pt idx="21" formatCode="0.000">
                  <c:v>-3.92551331475215E-6</c:v>
                </c:pt>
                <c:pt idx="22" formatCode="0.000">
                  <c:v>-2.25508706554412E-6</c:v>
                </c:pt>
                <c:pt idx="23" formatCode="0.000">
                  <c:v>-1.29547839108666E-6</c:v>
                </c:pt>
                <c:pt idx="24" formatCode="0.000">
                  <c:v>-7.4421262372304E-7</c:v>
                </c:pt>
                <c:pt idx="25" formatCode="0.000">
                  <c:v>-4.27527339027365E-7</c:v>
                </c:pt>
                <c:pt idx="26" formatCode="0.000">
                  <c:v>-2.45601350728823E-7</c:v>
                </c:pt>
                <c:pt idx="27" formatCode="0.000">
                  <c:v>-1.41090447261342E-7</c:v>
                </c:pt>
                <c:pt idx="28" formatCode="0.000">
                  <c:v>-8.10521369256837E-8</c:v>
                </c:pt>
                <c:pt idx="29" formatCode="0.000">
                  <c:v>-4.65619680689735E-8</c:v>
                </c:pt>
                <c:pt idx="30" formatCode="0.000">
                  <c:v>-2.67484233320579E-8</c:v>
                </c:pt>
                <c:pt idx="31" formatCode="0.000">
                  <c:v>-1.53661492506314E-8</c:v>
                </c:pt>
                <c:pt idx="32" formatCode="0.000">
                  <c:v>-8.827381706259E-9</c:v>
                </c:pt>
                <c:pt idx="33" formatCode="0.000">
                  <c:v>-5.07106019322273E-9</c:v>
                </c:pt>
                <c:pt idx="34" formatCode="0.000">
                  <c:v>-2.91316863131166E-9</c:v>
                </c:pt>
                <c:pt idx="35" formatCode="0.000">
                  <c:v>-1.67352607760409E-9</c:v>
                </c:pt>
                <c:pt idx="36" formatCode="0.000">
                  <c:v>-9.61389430847986E-10</c:v>
                </c:pt>
                <c:pt idx="37" formatCode="0.000">
                  <c:v>-5.52288757322174E-10</c:v>
                </c:pt>
                <c:pt idx="38" formatCode="0.000">
                  <c:v>-3.17272961067845E-10</c:v>
                </c:pt>
                <c:pt idx="39" formatCode="0.000">
                  <c:v>-1.82263590359559E-10</c:v>
                </c:pt>
                <c:pt idx="40" formatCode="0.000">
                  <c:v>-1.04704845502587E-10</c:v>
                </c:pt>
                <c:pt idx="41" formatCode="0.000">
                  <c:v>-6.0149724089673E-11</c:v>
                </c:pt>
                <c:pt idx="42" formatCode="0.000">
                  <c:v>-3.45541726430836E-11</c:v>
                </c:pt>
                <c:pt idx="43" formatCode="0.000">
                  <c:v>-1.98503129501972E-11</c:v>
                </c:pt>
                <c:pt idx="44" formatCode="0.000">
                  <c:v>-1.14033962928537E-11</c:v>
                </c:pt>
                <c:pt idx="45" formatCode="0.000">
                  <c:v>-6.55090160735114E-12</c:v>
                </c:pt>
                <c:pt idx="46" formatCode="0.000">
                  <c:v>-3.76329216025661E-12</c:v>
                </c:pt>
                <c:pt idx="47" formatCode="0.000">
                  <c:v>-2.16189598505899E-12</c:v>
                </c:pt>
                <c:pt idx="48" formatCode="0.000">
                  <c:v>-1.24194297205335E-12</c:v>
                </c:pt>
                <c:pt idx="49" formatCode="0.000">
                  <c:v>-7.13458166578084E-13</c:v>
                </c:pt>
                <c:pt idx="50" formatCode="0.000">
                  <c:v>-4.09859846153303E-13</c:v>
                </c:pt>
                <c:pt idx="51" formatCode="0.000">
                  <c:v>-2.35451917656932E-13</c:v>
                </c:pt>
                <c:pt idx="52" formatCode="0.000">
                  <c:v>-1.35259909085095E-13</c:v>
                </c:pt>
                <c:pt idx="53" formatCode="0.000">
                  <c:v>-7.77026714743751E-14</c:v>
                </c:pt>
                <c:pt idx="54" formatCode="0.000">
                  <c:v>-4.46378028426457E-14</c:v>
                </c:pt>
                <c:pt idx="55" formatCode="0.000">
                  <c:v>-2.56430493934306E-14</c:v>
                </c:pt>
                <c:pt idx="56" formatCode="0.000">
                  <c:v>-1.47311458073313E-14</c:v>
                </c:pt>
                <c:pt idx="57" formatCode="0.000">
                  <c:v>-8.46259169365591E-15</c:v>
                </c:pt>
                <c:pt idx="58" formatCode="0.000">
                  <c:v>-4.86149951335713E-15</c:v>
                </c:pt>
                <c:pt idx="59" formatCode="0.000">
                  <c:v>-2.79278244466046E-15</c:v>
                </c:pt>
                <c:pt idx="60" formatCode="0.000">
                  <c:v>-1.60436790372474E-15</c:v>
                </c:pt>
                <c:pt idx="61" formatCode="0.000">
                  <c:v>-9.21660179948271E-16</c:v>
                </c:pt>
                <c:pt idx="62" formatCode="0.000">
                  <c:v>-5.29465520551835E-16</c:v>
                </c:pt>
                <c:pt idx="63" formatCode="0.000">
                  <c:v>-3.04161711173157E-16</c:v>
                </c:pt>
                <c:pt idx="64" formatCode="0.000">
                  <c:v>-1.74731579210975E-16</c:v>
                </c:pt>
                <c:pt idx="65" formatCode="0.000">
                  <c:v>-1.00377935986098E-16</c:v>
                </c:pt>
                <c:pt idx="66" formatCode="0.000">
                  <c:v>-5.76640472107422E-17</c:v>
                </c:pt>
                <c:pt idx="67" formatCode="0.000">
                  <c:v>-3.31262274727708E-17</c:v>
                </c:pt>
                <c:pt idx="68" formatCode="0.000">
                  <c:v>-1.90300022224824E-17</c:v>
                </c:pt>
                <c:pt idx="69" formatCode="0.000">
                  <c:v>-1.09321529258156E-17</c:v>
                </c:pt>
                <c:pt idx="70" formatCode="0.000">
                  <c:v>-6.28018673861347E-18</c:v>
                </c:pt>
                <c:pt idx="71" formatCode="0.000">
                  <c:v>-3.60777476673598E-18</c:v>
                </c:pt>
                <c:pt idx="72" formatCode="0.000">
                  <c:v>-2.07255600975498E-18</c:v>
                </c:pt>
                <c:pt idx="73" formatCode="0.000">
                  <c:v>-1.19061989489374E-18</c:v>
                </c:pt>
                <c:pt idx="74" formatCode="0.000">
                  <c:v>-6.83974632021823E-19</c:v>
                </c:pt>
                <c:pt idx="75" formatCode="0.000">
                  <c:v>-3.92922459347229E-19</c:v>
                </c:pt>
                <c:pt idx="76" formatCode="0.000">
                  <c:v>-2.25721908140227E-19</c:v>
                </c:pt>
                <c:pt idx="77" formatCode="0.000">
                  <c:v>-1.29670316884176E-19</c:v>
                </c:pt>
                <c:pt idx="78" formatCode="0.000">
                  <c:v>-7.44916220998665E-20</c:v>
                </c:pt>
                <c:pt idx="79" formatCode="0.000">
                  <c:v>-4.27931534093944E-20</c:v>
                </c:pt>
                <c:pt idx="80" formatCode="0.000">
                  <c:v>-2.45833548404264E-20</c:v>
                </c:pt>
                <c:pt idx="81" formatCode="0.000">
                  <c:v>-1.4122383770803E-20</c:v>
                </c:pt>
                <c:pt idx="82" formatCode="0.000">
                  <c:v>-8.11287656483183E-21</c:v>
                </c:pt>
                <c:pt idx="83" formatCode="0.000">
                  <c:v>-4.66059889211289E-21</c:v>
                </c:pt>
                <c:pt idx="84" formatCode="0.000">
                  <c:v>-2.67737119621937E-21</c:v>
                </c:pt>
                <c:pt idx="85" formatCode="0.000">
                  <c:v>-1.53806767934397E-21</c:v>
                </c:pt>
                <c:pt idx="86" formatCode="0.000">
                  <c:v>-8.835727334271E-22</c:v>
                </c:pt>
                <c:pt idx="87" formatCode="0.000">
                  <c:v>-5.07585450068641E-22</c:v>
                </c:pt>
                <c:pt idx="88" formatCode="0.000">
                  <c:v>-2.91592281398351E-22</c:v>
                </c:pt>
                <c:pt idx="89" formatCode="0.000">
                  <c:v>-1.67510827112158E-22</c:v>
                </c:pt>
                <c:pt idx="90" formatCode="0.000">
                  <c:v>-9.62298352522782E-23</c:v>
                </c:pt>
                <c:pt idx="91" formatCode="0.000">
                  <c:v>-5.52810904962006E-23</c:v>
                </c:pt>
                <c:pt idx="92" formatCode="0.000">
                  <c:v>-3.17572918880869E-23</c:v>
                </c:pt>
                <c:pt idx="93" formatCode="0.000">
                  <c:v>-1.82435906928151E-23</c:v>
                </c:pt>
                <c:pt idx="94" formatCode="0.000">
                  <c:v>-1.04803836089003E-23</c:v>
                </c:pt>
                <c:pt idx="95" formatCode="0.000">
                  <c:v>-6.02065911470838E-24</c:v>
                </c:pt>
                <c:pt idx="96" formatCode="0.000">
                  <c:v>-3.45868410243474E-24</c:v>
                </c:pt>
                <c:pt idx="97" formatCode="0.000">
                  <c:v>-1.98690799338076E-24</c:v>
                </c:pt>
                <c:pt idx="98" formatCode="0.000">
                  <c:v>-1.14141773496495E-24</c:v>
                </c:pt>
                <c:pt idx="99" formatCode="0.000">
                  <c:v>-6.55709499399482E-25</c:v>
                </c:pt>
                <c:pt idx="100" formatCode="0.000">
                  <c:v>-3.7668500710296E-25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Zustandsregler_optimal!$H$13</c:f>
              <c:strCache>
                <c:ptCount val="1"/>
                <c:pt idx="0">
                  <c:v>x1(k)/IN</c:v>
                </c:pt>
              </c:strCache>
            </c:strRef>
          </c:tx>
          <c:cat>
            <c:numRef>
              <c:f>Zustandsregler_optimal!$A$14:$A$114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Zustandsregler_optimal!$H$14:$H$114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-0.955150254850895</c:v>
                </c:pt>
                <c:pt idx="2">
                  <c:v>-0.480331766940836</c:v>
                </c:pt>
                <c:pt idx="3">
                  <c:v>-0.280830222444462</c:v>
                </c:pt>
                <c:pt idx="4">
                  <c:v>-0.160978000833174</c:v>
                </c:pt>
                <c:pt idx="5">
                  <c:v>-0.0925020062485879</c:v>
                </c:pt>
                <c:pt idx="6">
                  <c:v>-0.0531377717396531</c:v>
                </c:pt>
                <c:pt idx="7">
                  <c:v>-0.0305261494754776</c:v>
                </c:pt>
                <c:pt idx="8">
                  <c:v>-0.0175363279173074</c:v>
                </c:pt>
                <c:pt idx="9">
                  <c:v>-0.0100740834835138</c:v>
                </c:pt>
                <c:pt idx="10">
                  <c:v>-0.00578725210037287</c:v>
                </c:pt>
                <c:pt idx="11">
                  <c:v>-0.00332459893099709</c:v>
                </c:pt>
                <c:pt idx="12">
                  <c:v>-0.00190988017243256</c:v>
                </c:pt>
                <c:pt idx="13">
                  <c:v>-0.00109716761307983</c:v>
                </c:pt>
                <c:pt idx="14">
                  <c:v>-0.000630289160830829</c:v>
                </c:pt>
                <c:pt idx="15">
                  <c:v>-0.000362081801837513</c:v>
                </c:pt>
                <c:pt idx="16">
                  <c:v>-0.000208004895799013</c:v>
                </c:pt>
                <c:pt idx="17">
                  <c:v>-0.000119492436396391</c:v>
                </c:pt>
                <c:pt idx="18">
                  <c:v>-6.86447417552239E-5</c:v>
                </c:pt>
                <c:pt idx="19">
                  <c:v>-3.94342998832996E-5</c:v>
                </c:pt>
                <c:pt idx="20">
                  <c:v>-2.26537964529185E-5</c:v>
                </c:pt>
                <c:pt idx="21">
                  <c:v>-1.30139116264012E-5</c:v>
                </c:pt>
                <c:pt idx="22">
                  <c:v>-7.47609329728755E-6</c:v>
                </c:pt>
                <c:pt idx="23">
                  <c:v>-4.29478642504075E-6</c:v>
                </c:pt>
                <c:pt idx="24">
                  <c:v>-2.46722314760391E-6</c:v>
                </c:pt>
                <c:pt idx="25">
                  <c:v>-1.41734406735133E-6</c:v>
                </c:pt>
                <c:pt idx="26">
                  <c:v>-8.14220719032633E-7</c:v>
                </c:pt>
                <c:pt idx="27">
                  <c:v>-4.67744843735029E-7</c:v>
                </c:pt>
                <c:pt idx="28">
                  <c:v>-2.68705074344759E-7</c:v>
                </c:pt>
                <c:pt idx="29">
                  <c:v>-1.54362828250704E-7</c:v>
                </c:pt>
                <c:pt idx="30">
                  <c:v>-8.86767129488004E-8</c:v>
                </c:pt>
                <c:pt idx="31">
                  <c:v>-5.09420532683722E-8</c:v>
                </c:pt>
                <c:pt idx="32">
                  <c:v>-2.9264648010758E-8</c:v>
                </c:pt>
                <c:pt idx="33">
                  <c:v>-1.68116431954909E-8</c:v>
                </c:pt>
                <c:pt idx="34">
                  <c:v>-9.65777366700586E-9</c:v>
                </c:pt>
                <c:pt idx="35">
                  <c:v>-5.54809491960482E-9</c:v>
                </c:pt>
                <c:pt idx="36">
                  <c:v>-3.1872104584625E-9</c:v>
                </c:pt>
                <c:pt idx="37">
                  <c:v>-1.83095470674758E-9</c:v>
                </c:pt>
                <c:pt idx="38">
                  <c:v>-1.05182735242977E-9</c:v>
                </c:pt>
                <c:pt idx="39">
                  <c:v>-6.04242570961616E-10</c:v>
                </c:pt>
                <c:pt idx="40">
                  <c:v>-3.47118834396999E-10</c:v>
                </c:pt>
                <c:pt idx="41">
                  <c:v>-1.99409129683425E-10</c:v>
                </c:pt>
                <c:pt idx="42">
                  <c:v>-1.14554432259999E-10</c:v>
                </c:pt>
                <c:pt idx="43">
                  <c:v>-6.58080097498242E-11</c:v>
                </c:pt>
                <c:pt idx="44">
                  <c:v>-3.78046843041722E-11</c:v>
                </c:pt>
                <c:pt idx="45">
                  <c:v>-2.17176322574008E-11</c:v>
                </c:pt>
                <c:pt idx="46">
                  <c:v>-1.24761139935148E-11</c:v>
                </c:pt>
                <c:pt idx="47">
                  <c:v>-7.1671450429931E-12</c:v>
                </c:pt>
                <c:pt idx="48">
                  <c:v>-4.11730512353462E-12</c:v>
                </c:pt>
                <c:pt idx="49">
                  <c:v>-2.36526558045E-12</c:v>
                </c:pt>
                <c:pt idx="50">
                  <c:v>-1.35877257045713E-12</c:v>
                </c:pt>
                <c:pt idx="51">
                  <c:v>-7.80573189533935E-13</c:v>
                </c:pt>
                <c:pt idx="52">
                  <c:v>-4.4841536947879E-13</c:v>
                </c:pt>
                <c:pt idx="53">
                  <c:v>-2.5760088391565E-13</c:v>
                </c:pt>
                <c:pt idx="54">
                  <c:v>-1.47983811240134E-13</c:v>
                </c:pt>
                <c:pt idx="55">
                  <c:v>-8.50121632203959E-14</c:v>
                </c:pt>
                <c:pt idx="56">
                  <c:v>-4.88368817835342E-14</c:v>
                </c:pt>
                <c:pt idx="57">
                  <c:v>-2.80552915252329E-14</c:v>
                </c:pt>
                <c:pt idx="58">
                  <c:v>-1.6116904966508E-14</c:v>
                </c:pt>
                <c:pt idx="59">
                  <c:v>-9.25866785115483E-15</c:v>
                </c:pt>
                <c:pt idx="60">
                  <c:v>-5.3188208626995E-15</c:v>
                </c:pt>
                <c:pt idx="61">
                  <c:v>-3.05549954100134E-15</c:v>
                </c:pt>
                <c:pt idx="62">
                  <c:v>-1.75529082216937E-15</c:v>
                </c:pt>
                <c:pt idx="63">
                  <c:v>-1.00836077016143E-15</c:v>
                </c:pt>
                <c:pt idx="64">
                  <c:v>-5.79272351885202E-16</c:v>
                </c:pt>
                <c:pt idx="65">
                  <c:v>-3.32774208981665E-16</c:v>
                </c:pt>
                <c:pt idx="66">
                  <c:v>-1.91168582106468E-16</c:v>
                </c:pt>
                <c:pt idx="67">
                  <c:v>-1.09820490285083E-16</c:v>
                </c:pt>
                <c:pt idx="68">
                  <c:v>-6.30885052008137E-17</c:v>
                </c:pt>
                <c:pt idx="69">
                  <c:v>-3.62424123052173E-17</c:v>
                </c:pt>
                <c:pt idx="70">
                  <c:v>-2.08201548843232E-17</c:v>
                </c:pt>
                <c:pt idx="71">
                  <c:v>-1.19605407542037E-17</c:v>
                </c:pt>
                <c:pt idx="72">
                  <c:v>-6.87096402153485E-18</c:v>
                </c:pt>
                <c:pt idx="73">
                  <c:v>-3.94715820592256E-18</c:v>
                </c:pt>
                <c:pt idx="74">
                  <c:v>-2.26752139201298E-18</c:v>
                </c:pt>
                <c:pt idx="75">
                  <c:v>-1.30262153047771E-18</c:v>
                </c:pt>
                <c:pt idx="76">
                  <c:v>-7.4831613833541E-19</c:v>
                </c:pt>
                <c:pt idx="77">
                  <c:v>-4.29884682381889E-19</c:v>
                </c:pt>
                <c:pt idx="78">
                  <c:v>-2.46955572223336E-19</c:v>
                </c:pt>
                <c:pt idx="79">
                  <c:v>-1.41868405997255E-19</c:v>
                </c:pt>
                <c:pt idx="80">
                  <c:v>-8.14990503717019E-20</c:v>
                </c:pt>
                <c:pt idx="81">
                  <c:v>-4.68187061439015E-20</c:v>
                </c:pt>
                <c:pt idx="82">
                  <c:v>-2.68959114859834E-20</c:v>
                </c:pt>
                <c:pt idx="83">
                  <c:v>-1.54508766739185E-20</c:v>
                </c:pt>
                <c:pt idx="84">
                  <c:v>-8.87605501367938E-21</c:v>
                </c:pt>
                <c:pt idx="85">
                  <c:v>-5.09902151629058E-21</c:v>
                </c:pt>
                <c:pt idx="86">
                  <c:v>-2.92923155427994E-21</c:v>
                </c:pt>
                <c:pt idx="87">
                  <c:v>-1.68275373445204E-21</c:v>
                </c:pt>
                <c:pt idx="88">
                  <c:v>-9.66690436839965E-22</c:v>
                </c:pt>
                <c:pt idx="89">
                  <c:v>-5.55334022766049E-22</c:v>
                </c:pt>
                <c:pt idx="90">
                  <c:v>-3.19022372714934E-22</c:v>
                </c:pt>
                <c:pt idx="91">
                  <c:v>-1.83268573723859E-22</c:v>
                </c:pt>
                <c:pt idx="92">
                  <c:v>-1.05282177638337E-22</c:v>
                </c:pt>
                <c:pt idx="93">
                  <c:v>-6.04813837039607E-23</c:v>
                </c:pt>
                <c:pt idx="94">
                  <c:v>-3.47447009247054E-23</c:v>
                </c:pt>
                <c:pt idx="95">
                  <c:v>-1.99597656074818E-23</c:v>
                </c:pt>
                <c:pt idx="96">
                  <c:v>-1.14662734892714E-23</c:v>
                </c:pt>
                <c:pt idx="97">
                  <c:v>-6.58702262923798E-24</c:v>
                </c:pt>
                <c:pt idx="98">
                  <c:v>-3.78404258006672E-24</c:v>
                </c:pt>
                <c:pt idx="99">
                  <c:v>-2.17381646515073E-24</c:v>
                </c:pt>
                <c:pt idx="100">
                  <c:v>-1.24879092245233E-24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Zustandsregler_optimal!$I$13</c:f>
              <c:strCache>
                <c:ptCount val="1"/>
                <c:pt idx="0">
                  <c:v>x2(k)/fN</c:v>
                </c:pt>
              </c:strCache>
            </c:strRef>
          </c:tx>
          <c:cat>
            <c:numRef>
              <c:f>Zustandsregler_optimal!$A$14:$A$114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Zustandsregler_optimal!$I$14:$I$114</c:f>
              <c:numCache>
                <c:formatCode>0.00</c:formatCode>
                <c:ptCount val="101"/>
                <c:pt idx="1">
                  <c:v>0.0865704124102708</c:v>
                </c:pt>
                <c:pt idx="2">
                  <c:v>0.0500790387655839</c:v>
                </c:pt>
                <c:pt idx="3">
                  <c:v>0.0287440339142315</c:v>
                </c:pt>
                <c:pt idx="4">
                  <c:v>0.0165143443927769</c:v>
                </c:pt>
                <c:pt idx="5">
                  <c:v>0.00948685734065333</c:v>
                </c:pt>
                <c:pt idx="6">
                  <c:v>0.00544991784038369</c:v>
                </c:pt>
                <c:pt idx="7">
                  <c:v>0.00313081008380588</c:v>
                </c:pt>
                <c:pt idx="8">
                  <c:v>0.00179855446710619</c:v>
                </c:pt>
                <c:pt idx="9">
                  <c:v>0.00103321440461985</c:v>
                </c:pt>
                <c:pt idx="10">
                  <c:v>0.00059355000325054</c:v>
                </c:pt>
                <c:pt idx="11">
                  <c:v>0.000340976282002816</c:v>
                </c:pt>
                <c:pt idx="12">
                  <c:v>0.000195880421629709</c:v>
                </c:pt>
                <c:pt idx="13">
                  <c:v>0.000112527297653053</c:v>
                </c:pt>
                <c:pt idx="14">
                  <c:v>6.46434830584902E-5</c:v>
                </c:pt>
                <c:pt idx="15">
                  <c:v>3.71356994177267E-5</c:v>
                </c:pt>
                <c:pt idx="16">
                  <c:v>2.13333209473873E-5</c:v>
                </c:pt>
                <c:pt idx="17">
                  <c:v>1.22553389266983E-5</c:v>
                </c:pt>
                <c:pt idx="18">
                  <c:v>7.04031653480752E-6</c:v>
                </c:pt>
                <c:pt idx="19">
                  <c:v>4.04444603341849E-6</c:v>
                </c:pt>
                <c:pt idx="20">
                  <c:v>2.32341026662117E-6</c:v>
                </c:pt>
                <c:pt idx="21">
                  <c:v>1.33472797570695E-6</c:v>
                </c:pt>
                <c:pt idx="22">
                  <c:v>7.66760306919673E-7</c:v>
                </c:pt>
                <c:pt idx="23">
                  <c:v>4.40480291840856E-7</c:v>
                </c:pt>
                <c:pt idx="24">
                  <c:v>2.53042425056741E-7</c:v>
                </c:pt>
                <c:pt idx="25">
                  <c:v>1.45365116361961E-7</c:v>
                </c:pt>
                <c:pt idx="26">
                  <c:v>8.35078032870897E-8</c:v>
                </c:pt>
                <c:pt idx="27">
                  <c:v>4.79726731169191E-8</c:v>
                </c:pt>
                <c:pt idx="28">
                  <c:v>2.75588301379563E-8</c:v>
                </c:pt>
                <c:pt idx="29">
                  <c:v>1.58317031181836E-8</c:v>
                </c:pt>
                <c:pt idx="30">
                  <c:v>9.0948281319495E-9</c:v>
                </c:pt>
                <c:pt idx="31">
                  <c:v>5.22469996640453E-9</c:v>
                </c:pt>
                <c:pt idx="32">
                  <c:v>3.00142997128811E-9</c:v>
                </c:pt>
                <c:pt idx="33">
                  <c:v>1.7242295118328E-9</c:v>
                </c:pt>
                <c:pt idx="34">
                  <c:v>9.90516999535155E-10</c:v>
                </c:pt>
                <c:pt idx="35">
                  <c:v>5.69021652648331E-10</c:v>
                </c:pt>
                <c:pt idx="36">
                  <c:v>3.26885496497878E-10</c:v>
                </c:pt>
                <c:pt idx="37">
                  <c:v>1.87785697298768E-10</c:v>
                </c:pt>
                <c:pt idx="38">
                  <c:v>1.07877126662955E-10</c:v>
                </c:pt>
                <c:pt idx="39">
                  <c:v>6.19721023723122E-11</c:v>
                </c:pt>
                <c:pt idx="40">
                  <c:v>3.56010731027672E-11</c:v>
                </c:pt>
                <c:pt idx="41">
                  <c:v>2.04517251723065E-11</c:v>
                </c:pt>
                <c:pt idx="42">
                  <c:v>1.17488891785974E-11</c:v>
                </c:pt>
                <c:pt idx="43">
                  <c:v>6.7493766793755E-12</c:v>
                </c:pt>
                <c:pt idx="44">
                  <c:v>3.87731000502434E-12</c:v>
                </c:pt>
                <c:pt idx="45">
                  <c:v>2.2273957417432E-12</c:v>
                </c:pt>
                <c:pt idx="46">
                  <c:v>1.27957057442061E-12</c:v>
                </c:pt>
                <c:pt idx="47">
                  <c:v>7.35074070691046E-13</c:v>
                </c:pt>
                <c:pt idx="48">
                  <c:v>4.2227752044624E-13</c:v>
                </c:pt>
                <c:pt idx="49">
                  <c:v>2.42585490883371E-13</c:v>
                </c:pt>
                <c:pt idx="50">
                  <c:v>1.39357928229139E-13</c:v>
                </c:pt>
                <c:pt idx="51">
                  <c:v>8.00568578508054E-14</c:v>
                </c:pt>
                <c:pt idx="52">
                  <c:v>4.59902107500186E-14</c:v>
                </c:pt>
                <c:pt idx="53">
                  <c:v>2.64199662791267E-14</c:v>
                </c:pt>
                <c:pt idx="54">
                  <c:v>1.51774607423366E-14</c:v>
                </c:pt>
                <c:pt idx="55">
                  <c:v>8.71898594235387E-15</c:v>
                </c:pt>
                <c:pt idx="56">
                  <c:v>5.00879014965324E-15</c:v>
                </c:pt>
                <c:pt idx="57">
                  <c:v>2.87739640012429E-15</c:v>
                </c:pt>
                <c:pt idx="58">
                  <c:v>1.6529760273589E-15</c:v>
                </c:pt>
                <c:pt idx="59">
                  <c:v>9.49584056929103E-16</c:v>
                </c:pt>
                <c:pt idx="60">
                  <c:v>5.45506931891004E-16</c:v>
                </c:pt>
                <c:pt idx="61">
                  <c:v>3.13377010249608E-16</c:v>
                </c:pt>
                <c:pt idx="62">
                  <c:v>1.80025486042046E-16</c:v>
                </c:pt>
                <c:pt idx="63">
                  <c:v>1.0341912317965E-16</c:v>
                </c:pt>
                <c:pt idx="64">
                  <c:v>5.94111160280368E-17</c:v>
                </c:pt>
                <c:pt idx="65">
                  <c:v>3.41298649531713E-17</c:v>
                </c:pt>
                <c:pt idx="66">
                  <c:v>1.9606561189189E-17</c:v>
                </c:pt>
                <c:pt idx="67">
                  <c:v>1.1263368378189E-17</c:v>
                </c:pt>
                <c:pt idx="68">
                  <c:v>6.47045986283105E-18</c:v>
                </c:pt>
                <c:pt idx="69">
                  <c:v>3.71708084391352E-18</c:v>
                </c:pt>
                <c:pt idx="70">
                  <c:v>2.13534900039447E-18</c:v>
                </c:pt>
                <c:pt idx="71">
                  <c:v>1.22669254314226E-18</c:v>
                </c:pt>
                <c:pt idx="72">
                  <c:v>7.0469726265957E-19</c:v>
                </c:pt>
                <c:pt idx="73">
                  <c:v>4.04826975411311E-19</c:v>
                </c:pt>
                <c:pt idx="74">
                  <c:v>2.32560687694683E-19</c:v>
                </c:pt>
                <c:pt idx="75">
                  <c:v>1.33598986100353E-19</c:v>
                </c:pt>
                <c:pt idx="76">
                  <c:v>7.67485221340376E-20</c:v>
                </c:pt>
                <c:pt idx="77">
                  <c:v>4.4089673295382E-20</c:v>
                </c:pt>
                <c:pt idx="78">
                  <c:v>2.53281657710438E-20</c:v>
                </c:pt>
                <c:pt idx="79">
                  <c:v>1.45502548188005E-20</c:v>
                </c:pt>
                <c:pt idx="80">
                  <c:v>8.35867536582784E-21</c:v>
                </c:pt>
                <c:pt idx="81">
                  <c:v>4.80180276850003E-21</c:v>
                </c:pt>
                <c:pt idx="82">
                  <c:v>2.75848849470073E-21</c:v>
                </c:pt>
                <c:pt idx="83">
                  <c:v>1.5846670807292E-21</c:v>
                </c:pt>
                <c:pt idx="84">
                  <c:v>9.10342661051858E-22</c:v>
                </c:pt>
                <c:pt idx="85">
                  <c:v>5.2296395287623E-22</c:v>
                </c:pt>
                <c:pt idx="86">
                  <c:v>3.00426759844392E-22</c:v>
                </c:pt>
                <c:pt idx="87">
                  <c:v>1.7258596416484E-22</c:v>
                </c:pt>
                <c:pt idx="88">
                  <c:v>9.91453459143763E-23</c:v>
                </c:pt>
                <c:pt idx="89">
                  <c:v>5.69559619986982E-23</c:v>
                </c:pt>
                <c:pt idx="90">
                  <c:v>3.27194542242932E-23</c:v>
                </c:pt>
                <c:pt idx="91">
                  <c:v>1.87963234605727E-23</c:v>
                </c:pt>
                <c:pt idx="92">
                  <c:v>1.07979116403525E-23</c:v>
                </c:pt>
                <c:pt idx="93">
                  <c:v>6.20306923518476E-24</c:v>
                </c:pt>
                <c:pt idx="94">
                  <c:v>3.56347312499767E-24</c:v>
                </c:pt>
                <c:pt idx="95">
                  <c:v>2.04710607461121E-24</c:v>
                </c:pt>
                <c:pt idx="96">
                  <c:v>1.17599968730306E-24</c:v>
                </c:pt>
                <c:pt idx="97">
                  <c:v>6.75575770932903E-25</c:v>
                </c:pt>
                <c:pt idx="98">
                  <c:v>3.88097571112678E-25</c:v>
                </c:pt>
                <c:pt idx="99">
                  <c:v>2.22950157752947E-25</c:v>
                </c:pt>
                <c:pt idx="100">
                  <c:v>1.28078031252694E-25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525272"/>
        <c:axId val="2081528280"/>
      </c:lineChart>
      <c:catAx>
        <c:axId val="208152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1528280"/>
        <c:crosses val="autoZero"/>
        <c:auto val="1"/>
        <c:lblAlgn val="ctr"/>
        <c:lblOffset val="100"/>
        <c:noMultiLvlLbl val="0"/>
      </c:catAx>
      <c:valAx>
        <c:axId val="2081528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525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500714545913"/>
          <c:y val="0.0712485939257592"/>
          <c:w val="0.109231279364101"/>
          <c:h val="0.27123423401862"/>
        </c:manualLayout>
      </c:layout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25178169454797"/>
          <c:y val="0.0251141552511415"/>
          <c:w val="0.835211888549518"/>
          <c:h val="0.912450652572538"/>
        </c:manualLayout>
      </c:layout>
      <c:lineChart>
        <c:grouping val="standard"/>
        <c:varyColors val="0"/>
        <c:ser>
          <c:idx val="1"/>
          <c:order val="0"/>
          <c:tx>
            <c:strRef>
              <c:f>'Z-Regler'!$E$14</c:f>
              <c:strCache>
                <c:ptCount val="1"/>
                <c:pt idx="0">
                  <c:v>u(k) - uR(k)  [V]</c:v>
                </c:pt>
              </c:strCache>
            </c:strRef>
          </c:tx>
          <c:val>
            <c:numRef>
              <c:f>'Z-Regler'!$E$15:$E$115</c:f>
              <c:numCache>
                <c:formatCode>0</c:formatCode>
                <c:ptCount val="101"/>
                <c:pt idx="0" formatCode="General">
                  <c:v>0.0</c:v>
                </c:pt>
                <c:pt idx="1">
                  <c:v>24.0</c:v>
                </c:pt>
                <c:pt idx="2">
                  <c:v>24.0</c:v>
                </c:pt>
                <c:pt idx="3">
                  <c:v>24.0</c:v>
                </c:pt>
                <c:pt idx="4">
                  <c:v>24.0</c:v>
                </c:pt>
                <c:pt idx="5">
                  <c:v>24.0</c:v>
                </c:pt>
                <c:pt idx="6">
                  <c:v>24.0</c:v>
                </c:pt>
                <c:pt idx="7">
                  <c:v>24.0</c:v>
                </c:pt>
                <c:pt idx="8">
                  <c:v>24.0</c:v>
                </c:pt>
                <c:pt idx="9">
                  <c:v>24.0</c:v>
                </c:pt>
                <c:pt idx="10">
                  <c:v>24.0</c:v>
                </c:pt>
                <c:pt idx="11">
                  <c:v>24.0</c:v>
                </c:pt>
                <c:pt idx="12">
                  <c:v>24.0</c:v>
                </c:pt>
                <c:pt idx="13">
                  <c:v>24.0</c:v>
                </c:pt>
                <c:pt idx="14">
                  <c:v>24.0</c:v>
                </c:pt>
                <c:pt idx="15">
                  <c:v>24.0</c:v>
                </c:pt>
                <c:pt idx="16">
                  <c:v>24.0</c:v>
                </c:pt>
                <c:pt idx="17">
                  <c:v>24.0</c:v>
                </c:pt>
                <c:pt idx="18">
                  <c:v>24.0</c:v>
                </c:pt>
                <c:pt idx="19">
                  <c:v>24.0</c:v>
                </c:pt>
                <c:pt idx="20">
                  <c:v>24.0</c:v>
                </c:pt>
                <c:pt idx="21">
                  <c:v>24.0</c:v>
                </c:pt>
                <c:pt idx="22">
                  <c:v>24.0</c:v>
                </c:pt>
                <c:pt idx="23">
                  <c:v>24.0</c:v>
                </c:pt>
                <c:pt idx="24">
                  <c:v>24.0</c:v>
                </c:pt>
                <c:pt idx="25">
                  <c:v>24.0</c:v>
                </c:pt>
                <c:pt idx="26">
                  <c:v>24.0</c:v>
                </c:pt>
                <c:pt idx="27">
                  <c:v>24.0</c:v>
                </c:pt>
                <c:pt idx="28">
                  <c:v>24.0</c:v>
                </c:pt>
                <c:pt idx="29">
                  <c:v>24.0</c:v>
                </c:pt>
                <c:pt idx="30">
                  <c:v>24.0</c:v>
                </c:pt>
                <c:pt idx="31">
                  <c:v>24.0</c:v>
                </c:pt>
                <c:pt idx="32">
                  <c:v>24.0</c:v>
                </c:pt>
                <c:pt idx="33">
                  <c:v>24.0</c:v>
                </c:pt>
                <c:pt idx="34">
                  <c:v>24.0</c:v>
                </c:pt>
                <c:pt idx="35">
                  <c:v>24.0</c:v>
                </c:pt>
                <c:pt idx="36">
                  <c:v>24.0</c:v>
                </c:pt>
                <c:pt idx="37">
                  <c:v>24.0</c:v>
                </c:pt>
                <c:pt idx="38">
                  <c:v>24.0</c:v>
                </c:pt>
                <c:pt idx="39">
                  <c:v>24.0</c:v>
                </c:pt>
                <c:pt idx="40">
                  <c:v>24.0</c:v>
                </c:pt>
                <c:pt idx="41">
                  <c:v>24.0</c:v>
                </c:pt>
                <c:pt idx="42">
                  <c:v>24.0</c:v>
                </c:pt>
                <c:pt idx="43">
                  <c:v>24.0</c:v>
                </c:pt>
                <c:pt idx="44">
                  <c:v>24.0</c:v>
                </c:pt>
                <c:pt idx="45">
                  <c:v>24.0</c:v>
                </c:pt>
                <c:pt idx="46">
                  <c:v>24.0</c:v>
                </c:pt>
                <c:pt idx="47">
                  <c:v>24.0</c:v>
                </c:pt>
                <c:pt idx="48">
                  <c:v>24.0</c:v>
                </c:pt>
                <c:pt idx="49">
                  <c:v>24.0</c:v>
                </c:pt>
                <c:pt idx="50">
                  <c:v>24.0</c:v>
                </c:pt>
                <c:pt idx="51">
                  <c:v>24.0</c:v>
                </c:pt>
                <c:pt idx="52">
                  <c:v>24.0</c:v>
                </c:pt>
                <c:pt idx="53">
                  <c:v>24.0</c:v>
                </c:pt>
                <c:pt idx="54">
                  <c:v>24.0</c:v>
                </c:pt>
                <c:pt idx="55">
                  <c:v>24.0</c:v>
                </c:pt>
                <c:pt idx="56">
                  <c:v>24.0</c:v>
                </c:pt>
                <c:pt idx="57">
                  <c:v>24.0</c:v>
                </c:pt>
                <c:pt idx="58">
                  <c:v>24.0</c:v>
                </c:pt>
                <c:pt idx="59">
                  <c:v>24.0</c:v>
                </c:pt>
                <c:pt idx="60">
                  <c:v>24.0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'Z-Regler'!$F$14</c:f>
              <c:strCache>
                <c:ptCount val="1"/>
                <c:pt idx="0">
                  <c:v>x1(k)  [A]</c:v>
                </c:pt>
              </c:strCache>
            </c:strRef>
          </c:tx>
          <c:val>
            <c:numRef>
              <c:f>'Z-Regler'!$F$15:$F$115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6.896837256731212</c:v>
                </c:pt>
                <c:pt idx="2">
                  <c:v>6.342181886111428</c:v>
                </c:pt>
                <c:pt idx="3">
                  <c:v>5.633939658872235</c:v>
                </c:pt>
                <c:pt idx="4">
                  <c:v>4.998594507526828</c:v>
                </c:pt>
                <c:pt idx="5">
                  <c:v>4.434697523517548</c:v>
                </c:pt>
                <c:pt idx="6">
                  <c:v>3.93440789354225</c:v>
                </c:pt>
                <c:pt idx="7">
                  <c:v>3.490557012854068</c:v>
                </c:pt>
                <c:pt idx="8">
                  <c:v>3.096778108135514</c:v>
                </c:pt>
                <c:pt idx="9">
                  <c:v>2.747422435714997</c:v>
                </c:pt>
                <c:pt idx="10">
                  <c:v>2.437478494315711</c:v>
                </c:pt>
                <c:pt idx="11">
                  <c:v>2.162500143049448</c:v>
                </c:pt>
                <c:pt idx="12">
                  <c:v>1.918542821852344</c:v>
                </c:pt>
                <c:pt idx="13">
                  <c:v>1.70210696684194</c:v>
                </c:pt>
                <c:pt idx="14">
                  <c:v>1.510087809129359</c:v>
                </c:pt>
                <c:pt idx="15">
                  <c:v>1.339730836959124</c:v>
                </c:pt>
                <c:pt idx="16">
                  <c:v>1.188592282281939</c:v>
                </c:pt>
                <c:pt idx="17">
                  <c:v>1.054504064940987</c:v>
                </c:pt>
                <c:pt idx="18">
                  <c:v>0.935542691596663</c:v>
                </c:pt>
                <c:pt idx="19">
                  <c:v>0.83000166324528</c:v>
                </c:pt>
                <c:pt idx="20">
                  <c:v>0.73636699551808</c:v>
                </c:pt>
                <c:pt idx="21">
                  <c:v>0.653295500599596</c:v>
                </c:pt>
                <c:pt idx="22">
                  <c:v>0.579595519219871</c:v>
                </c:pt>
                <c:pt idx="23">
                  <c:v>0.514209826321218</c:v>
                </c:pt>
                <c:pt idx="24">
                  <c:v>0.456200465181636</c:v>
                </c:pt>
                <c:pt idx="25">
                  <c:v>0.404735292440587</c:v>
                </c:pt>
                <c:pt idx="26">
                  <c:v>0.359076041015753</c:v>
                </c:pt>
                <c:pt idx="27">
                  <c:v>0.318567729673523</c:v>
                </c:pt>
                <c:pt idx="28">
                  <c:v>0.28262926733363</c:v>
                </c:pt>
                <c:pt idx="29">
                  <c:v>0.250745117326878</c:v>
                </c:pt>
                <c:pt idx="30">
                  <c:v>0.222457902029839</c:v>
                </c:pt>
                <c:pt idx="31">
                  <c:v>0.197361841790139</c:v>
                </c:pt>
                <c:pt idx="32">
                  <c:v>0.175096934023819</c:v>
                </c:pt>
                <c:pt idx="33">
                  <c:v>0.155343788984004</c:v>
                </c:pt>
                <c:pt idx="34">
                  <c:v>0.137819048120078</c:v>
                </c:pt>
                <c:pt idx="35">
                  <c:v>0.122271319303793</c:v>
                </c:pt>
                <c:pt idx="36">
                  <c:v>0.108477570613203</c:v>
                </c:pt>
                <c:pt idx="37">
                  <c:v>0.0962399309432933</c:v>
                </c:pt>
                <c:pt idx="38">
                  <c:v>0.0853828515481391</c:v>
                </c:pt>
                <c:pt idx="39">
                  <c:v>0.0757505877969418</c:v>
                </c:pt>
                <c:pt idx="40">
                  <c:v>0.0672049650197855</c:v>
                </c:pt>
                <c:pt idx="41">
                  <c:v>0.0596233963941981</c:v>
                </c:pt>
                <c:pt idx="42">
                  <c:v>0.0528971244391401</c:v>
                </c:pt>
                <c:pt idx="43">
                  <c:v>0.0469296608906737</c:v>
                </c:pt>
                <c:pt idx="44">
                  <c:v>0.0416354025793501</c:v>
                </c:pt>
                <c:pt idx="45">
                  <c:v>0.0369384034541161</c:v>
                </c:pt>
                <c:pt idx="46">
                  <c:v>0.0327712851374183</c:v>
                </c:pt>
                <c:pt idx="47">
                  <c:v>0.0290742703834504</c:v>
                </c:pt>
                <c:pt idx="48">
                  <c:v>0.0257943255745198</c:v>
                </c:pt>
                <c:pt idx="49">
                  <c:v>0.022884399954643</c:v>
                </c:pt>
                <c:pt idx="50">
                  <c:v>0.0203027506872055</c:v>
                </c:pt>
                <c:pt idx="51">
                  <c:v>0.0180123440546305</c:v>
                </c:pt>
                <c:pt idx="52">
                  <c:v>0.0159803242102986</c:v>
                </c:pt>
                <c:pt idx="53">
                  <c:v>0.0141775418619432</c:v>
                </c:pt>
                <c:pt idx="54">
                  <c:v>0.0125781361255254</c:v>
                </c:pt>
                <c:pt idx="55">
                  <c:v>0.0111591635512573</c:v>
                </c:pt>
                <c:pt idx="56">
                  <c:v>0.00990026900019197</c:v>
                </c:pt>
                <c:pt idx="57">
                  <c:v>0.00878339365006482</c:v>
                </c:pt>
                <c:pt idx="58">
                  <c:v>0.00779251594179067</c:v>
                </c:pt>
                <c:pt idx="59">
                  <c:v>0.00691342175044125</c:v>
                </c:pt>
                <c:pt idx="60">
                  <c:v>0.0061335004838631</c:v>
                </c:pt>
                <c:pt idx="61">
                  <c:v>-6.891395692547292</c:v>
                </c:pt>
                <c:pt idx="62">
                  <c:v>-6.337354199076</c:v>
                </c:pt>
                <c:pt idx="63">
                  <c:v>-5.629656595891759</c:v>
                </c:pt>
                <c:pt idx="64">
                  <c:v>-4.994794628131147</c:v>
                </c:pt>
                <c:pt idx="65">
                  <c:v>-4.43132631849732</c:v>
                </c:pt>
                <c:pt idx="66">
                  <c:v>-3.931417003015218</c:v>
                </c:pt>
                <c:pt idx="67">
                  <c:v>-3.487903532543314</c:v>
                </c:pt>
                <c:pt idx="68">
                  <c:v>-3.094423973908294</c:v>
                </c:pt>
                <c:pt idx="69">
                  <c:v>-2.745333877553358</c:v>
                </c:pt>
                <c:pt idx="70">
                  <c:v>-2.435625551886128</c:v>
                </c:pt>
                <c:pt idx="71">
                  <c:v>-2.160856235922317</c:v>
                </c:pt>
                <c:pt idx="72">
                  <c:v>-1.91708436820614</c:v>
                </c:pt>
                <c:pt idx="73">
                  <c:v>-1.700813045182362</c:v>
                </c:pt>
                <c:pt idx="74">
                  <c:v>-1.508939858170836</c:v>
                </c:pt>
                <c:pt idx="75">
                  <c:v>-1.33871238936346</c:v>
                </c:pt>
                <c:pt idx="76">
                  <c:v>-1.187688728434612</c:v>
                </c:pt>
                <c:pt idx="77">
                  <c:v>-1.053702443376467</c:v>
                </c:pt>
                <c:pt idx="78">
                  <c:v>-0.934831503066389</c:v>
                </c:pt>
                <c:pt idx="79">
                  <c:v>-0.829370705761127</c:v>
                </c:pt>
                <c:pt idx="80">
                  <c:v>-0.735807218004997</c:v>
                </c:pt>
                <c:pt idx="81">
                  <c:v>-0.652798873058086</c:v>
                </c:pt>
                <c:pt idx="82">
                  <c:v>-0.579154917535768</c:v>
                </c:pt>
                <c:pt idx="83">
                  <c:v>-0.513818930070391</c:v>
                </c:pt>
                <c:pt idx="84">
                  <c:v>-0.4558536669636</c:v>
                </c:pt>
                <c:pt idx="85">
                  <c:v>-0.404427617440433</c:v>
                </c:pt>
                <c:pt idx="86">
                  <c:v>-0.358803075640511</c:v>
                </c:pt>
                <c:pt idx="87">
                  <c:v>-0.318325558239238</c:v>
                </c:pt>
                <c:pt idx="88">
                  <c:v>-0.282414415894938</c:v>
                </c:pt>
                <c:pt idx="89">
                  <c:v>-0.250554503843317</c:v>
                </c:pt>
                <c:pt idx="90">
                  <c:v>-0.222288792154026</c:v>
                </c:pt>
                <c:pt idx="91">
                  <c:v>-0.197211809643604</c:v>
                </c:pt>
                <c:pt idx="92">
                  <c:v>-0.174963827397812</c:v>
                </c:pt>
                <c:pt idx="93">
                  <c:v>-0.155225698466097</c:v>
                </c:pt>
                <c:pt idx="94">
                  <c:v>-0.137714279703674</c:v>
                </c:pt>
                <c:pt idx="95">
                  <c:v>-0.122178370087631</c:v>
                </c:pt>
                <c:pt idx="96">
                  <c:v>-0.108395107242258</c:v>
                </c:pt>
                <c:pt idx="97">
                  <c:v>-0.0961667704818244</c:v>
                </c:pt>
                <c:pt idx="98">
                  <c:v>-0.085317944510493</c:v>
                </c:pt>
                <c:pt idx="99">
                  <c:v>-0.0756930030926986</c:v>
                </c:pt>
                <c:pt idx="100">
                  <c:v>-0.0671538765972805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'Z-Regler'!$H$14</c:f>
              <c:strCache>
                <c:ptCount val="1"/>
                <c:pt idx="0">
                  <c:v>f(k)=x2(k)/2π </c:v>
                </c:pt>
              </c:strCache>
            </c:strRef>
          </c:tx>
          <c:val>
            <c:numRef>
              <c:f>'Z-Regler'!$H$15:$H$115</c:f>
              <c:numCache>
                <c:formatCode>0.00</c:formatCode>
                <c:ptCount val="101"/>
                <c:pt idx="1">
                  <c:v>8.732681680444141</c:v>
                </c:pt>
                <c:pt idx="2">
                  <c:v>16.76306626242565</c:v>
                </c:pt>
                <c:pt idx="3">
                  <c:v>23.89668415369071</c:v>
                </c:pt>
                <c:pt idx="4">
                  <c:v>30.22583664184684</c:v>
                </c:pt>
                <c:pt idx="5">
                  <c:v>35.84099042616094</c:v>
                </c:pt>
                <c:pt idx="6">
                  <c:v>40.82268427456926</c:v>
                </c:pt>
                <c:pt idx="7">
                  <c:v>45.24238016502204</c:v>
                </c:pt>
                <c:pt idx="8">
                  <c:v>49.16347855355104</c:v>
                </c:pt>
                <c:pt idx="9">
                  <c:v>52.64222753365686</c:v>
                </c:pt>
                <c:pt idx="10">
                  <c:v>55.72852970397598</c:v>
                </c:pt>
                <c:pt idx="11">
                  <c:v>58.4666580199276</c:v>
                </c:pt>
                <c:pt idx="12">
                  <c:v>60.89589088854225</c:v>
                </c:pt>
                <c:pt idx="13">
                  <c:v>63.05107561658407</c:v>
                </c:pt>
                <c:pt idx="14">
                  <c:v>64.96312829461058</c:v>
                </c:pt>
                <c:pt idx="15">
                  <c:v>66.65947728779882</c:v>
                </c:pt>
                <c:pt idx="16">
                  <c:v>68.16445669540633</c:v>
                </c:pt>
                <c:pt idx="17">
                  <c:v>69.4996554230371</c:v>
                </c:pt>
                <c:pt idx="18">
                  <c:v>70.68422687514814</c:v>
                </c:pt>
                <c:pt idx="19">
                  <c:v>71.73516371033097</c:v>
                </c:pt>
                <c:pt idx="20">
                  <c:v>72.66754160072825</c:v>
                </c:pt>
                <c:pt idx="21">
                  <c:v>73.49473549231018</c:v>
                </c:pt>
                <c:pt idx="22">
                  <c:v>74.2286114682612</c:v>
                </c:pt>
                <c:pt idx="23">
                  <c:v>74.87969696775403</c:v>
                </c:pt>
                <c:pt idx="24">
                  <c:v>75.45733180189683</c:v>
                </c:pt>
                <c:pt idx="25">
                  <c:v>75.96980213317448</c:v>
                </c:pt>
                <c:pt idx="26">
                  <c:v>76.4244593403174</c:v>
                </c:pt>
                <c:pt idx="27">
                  <c:v>76.82782547371216</c:v>
                </c:pt>
                <c:pt idx="28">
                  <c:v>77.18568681411031</c:v>
                </c:pt>
                <c:pt idx="29">
                  <c:v>77.50317687673346</c:v>
                </c:pt>
                <c:pt idx="30">
                  <c:v>77.78485005146728</c:v>
                </c:pt>
                <c:pt idx="31">
                  <c:v>78.03474693551183</c:v>
                </c:pt>
                <c:pt idx="32">
                  <c:v>78.2564522956839</c:v>
                </c:pt>
                <c:pt idx="33">
                  <c:v>78.45314649183987</c:v>
                </c:pt>
                <c:pt idx="34">
                  <c:v>78.62765109908718</c:v>
                </c:pt>
                <c:pt idx="35">
                  <c:v>78.78246938323414</c:v>
                </c:pt>
                <c:pt idx="36">
                  <c:v>78.91982221009814</c:v>
                </c:pt>
                <c:pt idx="37">
                  <c:v>79.04167990379035</c:v>
                </c:pt>
                <c:pt idx="38">
                  <c:v>79.14979051098365</c:v>
                </c:pt>
                <c:pt idx="39">
                  <c:v>79.2457048766143</c:v>
                </c:pt>
                <c:pt idx="40">
                  <c:v>79.33079889072785</c:v>
                </c:pt>
                <c:pt idx="41">
                  <c:v>79.40629322559986</c:v>
                </c:pt>
                <c:pt idx="42">
                  <c:v>79.47327084626026</c:v>
                </c:pt>
                <c:pt idx="43">
                  <c:v>79.53269254560941</c:v>
                </c:pt>
                <c:pt idx="44">
                  <c:v>79.58541072697693</c:v>
                </c:pt>
                <c:pt idx="45">
                  <c:v>79.6321816318339</c:v>
                </c:pt>
                <c:pt idx="46">
                  <c:v>79.6736761880647</c:v>
                </c:pt>
                <c:pt idx="47">
                  <c:v>79.7104896344168</c:v>
                </c:pt>
                <c:pt idx="48">
                  <c:v>79.7431500591911</c:v>
                </c:pt>
                <c:pt idx="49">
                  <c:v>79.77212597566017</c:v>
                </c:pt>
                <c:pt idx="50">
                  <c:v>79.79783304288375</c:v>
                </c:pt>
                <c:pt idx="51">
                  <c:v>79.8206400283312</c:v>
                </c:pt>
                <c:pt idx="52">
                  <c:v>79.84087409784511</c:v>
                </c:pt>
                <c:pt idx="53">
                  <c:v>79.85882550883001</c:v>
                </c:pt>
                <c:pt idx="54">
                  <c:v>79.87475177399021</c:v>
                </c:pt>
                <c:pt idx="55">
                  <c:v>79.8888813553455</c:v>
                </c:pt>
                <c:pt idx="56">
                  <c:v>79.9014169415151</c:v>
                </c:pt>
                <c:pt idx="57">
                  <c:v>79.91253835528271</c:v>
                </c:pt>
                <c:pt idx="58">
                  <c:v>79.92240513315151</c:v>
                </c:pt>
                <c:pt idx="59">
                  <c:v>79.93115881389269</c:v>
                </c:pt>
                <c:pt idx="60">
                  <c:v>79.9389249689169</c:v>
                </c:pt>
                <c:pt idx="61">
                  <c:v>71.21313332314994</c:v>
                </c:pt>
                <c:pt idx="62">
                  <c:v>63.18886149293623</c:v>
                </c:pt>
                <c:pt idx="63">
                  <c:v>56.06066675785616</c:v>
                </c:pt>
                <c:pt idx="64">
                  <c:v>49.73632562539124</c:v>
                </c:pt>
                <c:pt idx="65">
                  <c:v>44.12544041509526</c:v>
                </c:pt>
                <c:pt idx="66">
                  <c:v>39.14753359165814</c:v>
                </c:pt>
                <c:pt idx="67">
                  <c:v>34.73119750194251</c:v>
                </c:pt>
                <c:pt idx="68">
                  <c:v>30.81307988620459</c:v>
                </c:pt>
                <c:pt idx="69">
                  <c:v>27.33697541008193</c:v>
                </c:pt>
                <c:pt idx="70">
                  <c:v>24.25301941030553</c:v>
                </c:pt>
                <c:pt idx="71">
                  <c:v>21.51697258723523</c:v>
                </c:pt>
                <c:pt idx="72">
                  <c:v>19.08958639282267</c:v>
                </c:pt>
                <c:pt idx="73">
                  <c:v>16.93604001081569</c:v>
                </c:pt>
                <c:pt idx="74">
                  <c:v>15.02544085270451</c:v>
                </c:pt>
                <c:pt idx="75">
                  <c:v>13.33038140403214</c:v>
                </c:pt>
                <c:pt idx="76">
                  <c:v>11.82654606403651</c:v>
                </c:pt>
                <c:pt idx="77">
                  <c:v>10.4923623387453</c:v>
                </c:pt>
                <c:pt idx="78">
                  <c:v>9.308691383893866</c:v>
                </c:pt>
                <c:pt idx="79">
                  <c:v>8.258553458509513</c:v>
                </c:pt>
                <c:pt idx="80">
                  <c:v>7.326884350797925</c:v>
                </c:pt>
                <c:pt idx="81">
                  <c:v>6.500319282265223</c:v>
                </c:pt>
                <c:pt idx="82">
                  <c:v>5.767001190183576</c:v>
                </c:pt>
                <c:pt idx="83">
                  <c:v>5.116410638215449</c:v>
                </c:pt>
                <c:pt idx="84">
                  <c:v>4.539214915267065</c:v>
                </c:pt>
                <c:pt idx="85">
                  <c:v>4.027134157896604</c:v>
                </c:pt>
                <c:pt idx="86">
                  <c:v>3.57282257580514</c:v>
                </c:pt>
                <c:pt idx="87">
                  <c:v>3.169763076591951</c:v>
                </c:pt>
                <c:pt idx="88">
                  <c:v>2.812173778167946</c:v>
                </c:pt>
                <c:pt idx="89">
                  <c:v>2.494925067749292</c:v>
                </c:pt>
                <c:pt idx="90">
                  <c:v>2.213466017643831</c:v>
                </c:pt>
                <c:pt idx="91">
                  <c:v>1.963759102265901</c:v>
                </c:pt>
                <c:pt idx="92">
                  <c:v>1.74222227989619</c:v>
                </c:pt>
                <c:pt idx="93">
                  <c:v>1.545677608350396</c:v>
                </c:pt>
                <c:pt idx="94">
                  <c:v>1.371305657449264</c:v>
                </c:pt>
                <c:pt idx="95">
                  <c:v>1.216605064337624</c:v>
                </c:pt>
                <c:pt idx="96">
                  <c:v>1.07935665147412</c:v>
                </c:pt>
                <c:pt idx="97">
                  <c:v>0.957591592564766</c:v>
                </c:pt>
                <c:pt idx="98">
                  <c:v>0.849563169781153</c:v>
                </c:pt>
                <c:pt idx="99">
                  <c:v>0.753721717121054</c:v>
                </c:pt>
                <c:pt idx="100">
                  <c:v>0.668692390474332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699048"/>
        <c:axId val="2071697624"/>
      </c:lineChart>
      <c:catAx>
        <c:axId val="207169904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697624"/>
        <c:crosses val="autoZero"/>
        <c:auto val="1"/>
        <c:lblAlgn val="ctr"/>
        <c:lblOffset val="100"/>
        <c:noMultiLvlLbl val="0"/>
      </c:catAx>
      <c:valAx>
        <c:axId val="2071697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699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30278999822531"/>
          <c:y val="0.0190350142402412"/>
          <c:w val="0.835211888549518"/>
          <c:h val="0.912450652572538"/>
        </c:manualLayout>
      </c:layout>
      <c:lineChart>
        <c:grouping val="standard"/>
        <c:varyColors val="0"/>
        <c:ser>
          <c:idx val="3"/>
          <c:order val="0"/>
          <c:tx>
            <c:strRef>
              <c:f>'Z-Regler'!$I$14</c:f>
              <c:strCache>
                <c:ptCount val="1"/>
                <c:pt idx="0">
                  <c:v>u(k)/uN</c:v>
                </c:pt>
              </c:strCache>
            </c:strRef>
          </c:tx>
          <c:cat>
            <c:numRef>
              <c:f>'Z-Regler'!$A$15:$A$115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'Z-Regler'!$I$15:$I$115</c:f>
              <c:numCache>
                <c:formatCode>General</c:formatCode>
                <c:ptCount val="101"/>
                <c:pt idx="0">
                  <c:v>0.0</c:v>
                </c:pt>
                <c:pt idx="1">
                  <c:v>1.0</c:v>
                </c:pt>
                <c:pt idx="2" formatCode="0.000">
                  <c:v>1.0</c:v>
                </c:pt>
                <c:pt idx="3" formatCode="0.000">
                  <c:v>1.0</c:v>
                </c:pt>
                <c:pt idx="4" formatCode="0.000">
                  <c:v>1.0</c:v>
                </c:pt>
                <c:pt idx="5" formatCode="0.000">
                  <c:v>1.0</c:v>
                </c:pt>
                <c:pt idx="6" formatCode="0.000">
                  <c:v>1.0</c:v>
                </c:pt>
                <c:pt idx="7" formatCode="0.000">
                  <c:v>1.0</c:v>
                </c:pt>
                <c:pt idx="8" formatCode="0.000">
                  <c:v>1.0</c:v>
                </c:pt>
                <c:pt idx="9" formatCode="0.000">
                  <c:v>1.0</c:v>
                </c:pt>
                <c:pt idx="10" formatCode="0.000">
                  <c:v>1.0</c:v>
                </c:pt>
                <c:pt idx="11" formatCode="0.000">
                  <c:v>1.0</c:v>
                </c:pt>
                <c:pt idx="12" formatCode="0.000">
                  <c:v>1.0</c:v>
                </c:pt>
                <c:pt idx="13" formatCode="0.000">
                  <c:v>1.0</c:v>
                </c:pt>
                <c:pt idx="14" formatCode="0.000">
                  <c:v>1.0</c:v>
                </c:pt>
                <c:pt idx="15" formatCode="0.000">
                  <c:v>1.0</c:v>
                </c:pt>
                <c:pt idx="16" formatCode="0.000">
                  <c:v>1.0</c:v>
                </c:pt>
                <c:pt idx="17" formatCode="0.000">
                  <c:v>1.0</c:v>
                </c:pt>
                <c:pt idx="18" formatCode="0.000">
                  <c:v>1.0</c:v>
                </c:pt>
                <c:pt idx="19" formatCode="0.000">
                  <c:v>1.0</c:v>
                </c:pt>
                <c:pt idx="20" formatCode="0.000">
                  <c:v>1.0</c:v>
                </c:pt>
                <c:pt idx="21" formatCode="0.000">
                  <c:v>1.0</c:v>
                </c:pt>
                <c:pt idx="22" formatCode="0.000">
                  <c:v>1.0</c:v>
                </c:pt>
                <c:pt idx="23" formatCode="0.000">
                  <c:v>1.0</c:v>
                </c:pt>
                <c:pt idx="24" formatCode="0.000">
                  <c:v>1.0</c:v>
                </c:pt>
                <c:pt idx="25" formatCode="0.000">
                  <c:v>1.0</c:v>
                </c:pt>
                <c:pt idx="26" formatCode="0.000">
                  <c:v>1.0</c:v>
                </c:pt>
                <c:pt idx="27" formatCode="0.000">
                  <c:v>1.0</c:v>
                </c:pt>
                <c:pt idx="28" formatCode="0.000">
                  <c:v>1.0</c:v>
                </c:pt>
                <c:pt idx="29" formatCode="0.000">
                  <c:v>1.0</c:v>
                </c:pt>
                <c:pt idx="30" formatCode="0.000">
                  <c:v>1.0</c:v>
                </c:pt>
                <c:pt idx="31" formatCode="0.000">
                  <c:v>1.0</c:v>
                </c:pt>
                <c:pt idx="32" formatCode="0.000">
                  <c:v>1.0</c:v>
                </c:pt>
                <c:pt idx="33" formatCode="0.000">
                  <c:v>1.0</c:v>
                </c:pt>
                <c:pt idx="34" formatCode="0.000">
                  <c:v>1.0</c:v>
                </c:pt>
                <c:pt idx="35" formatCode="0.000">
                  <c:v>1.0</c:v>
                </c:pt>
                <c:pt idx="36" formatCode="0.000">
                  <c:v>1.0</c:v>
                </c:pt>
                <c:pt idx="37" formatCode="0.000">
                  <c:v>1.0</c:v>
                </c:pt>
                <c:pt idx="38" formatCode="0.000">
                  <c:v>1.0</c:v>
                </c:pt>
                <c:pt idx="39" formatCode="0.000">
                  <c:v>1.0</c:v>
                </c:pt>
                <c:pt idx="40" formatCode="0.000">
                  <c:v>1.0</c:v>
                </c:pt>
                <c:pt idx="41" formatCode="0.000">
                  <c:v>1.0</c:v>
                </c:pt>
                <c:pt idx="42" formatCode="0.000">
                  <c:v>1.0</c:v>
                </c:pt>
                <c:pt idx="43" formatCode="0.000">
                  <c:v>1.0</c:v>
                </c:pt>
                <c:pt idx="44" formatCode="0.000">
                  <c:v>1.0</c:v>
                </c:pt>
                <c:pt idx="45" formatCode="0.000">
                  <c:v>1.0</c:v>
                </c:pt>
                <c:pt idx="46" formatCode="0.000">
                  <c:v>1.0</c:v>
                </c:pt>
                <c:pt idx="47" formatCode="0.000">
                  <c:v>1.0</c:v>
                </c:pt>
                <c:pt idx="48" formatCode="0.000">
                  <c:v>1.0</c:v>
                </c:pt>
                <c:pt idx="49" formatCode="0.000">
                  <c:v>1.0</c:v>
                </c:pt>
                <c:pt idx="50" formatCode="0.000">
                  <c:v>1.0</c:v>
                </c:pt>
                <c:pt idx="51" formatCode="0.000">
                  <c:v>1.0</c:v>
                </c:pt>
                <c:pt idx="52" formatCode="0.000">
                  <c:v>1.0</c:v>
                </c:pt>
                <c:pt idx="53" formatCode="0.000">
                  <c:v>1.0</c:v>
                </c:pt>
                <c:pt idx="54" formatCode="0.000">
                  <c:v>1.0</c:v>
                </c:pt>
                <c:pt idx="55" formatCode="0.000">
                  <c:v>1.0</c:v>
                </c:pt>
                <c:pt idx="56" formatCode="0.000">
                  <c:v>1.0</c:v>
                </c:pt>
                <c:pt idx="57" formatCode="0.000">
                  <c:v>1.0</c:v>
                </c:pt>
                <c:pt idx="58" formatCode="0.000">
                  <c:v>1.0</c:v>
                </c:pt>
                <c:pt idx="59" formatCode="0.000">
                  <c:v>1.0</c:v>
                </c:pt>
                <c:pt idx="60" formatCode="0.000">
                  <c:v>1.0</c:v>
                </c:pt>
                <c:pt idx="61" formatCode="0.000">
                  <c:v>0.0</c:v>
                </c:pt>
                <c:pt idx="62" formatCode="0.000">
                  <c:v>0.0</c:v>
                </c:pt>
                <c:pt idx="63" formatCode="0.000">
                  <c:v>0.0</c:v>
                </c:pt>
                <c:pt idx="64" formatCode="0.000">
                  <c:v>0.0</c:v>
                </c:pt>
                <c:pt idx="65" formatCode="0.000">
                  <c:v>0.0</c:v>
                </c:pt>
                <c:pt idx="66" formatCode="0.000">
                  <c:v>0.0</c:v>
                </c:pt>
                <c:pt idx="67" formatCode="0.000">
                  <c:v>0.0</c:v>
                </c:pt>
                <c:pt idx="68" formatCode="0.000">
                  <c:v>0.0</c:v>
                </c:pt>
                <c:pt idx="69" formatCode="0.000">
                  <c:v>0.0</c:v>
                </c:pt>
                <c:pt idx="70" formatCode="0.000">
                  <c:v>0.0</c:v>
                </c:pt>
                <c:pt idx="71" formatCode="0.000">
                  <c:v>0.0</c:v>
                </c:pt>
                <c:pt idx="72" formatCode="0.000">
                  <c:v>0.0</c:v>
                </c:pt>
                <c:pt idx="73" formatCode="0.000">
                  <c:v>0.0</c:v>
                </c:pt>
                <c:pt idx="74" formatCode="0.000">
                  <c:v>0.0</c:v>
                </c:pt>
                <c:pt idx="75" formatCode="0.000">
                  <c:v>0.0</c:v>
                </c:pt>
                <c:pt idx="76" formatCode="0.000">
                  <c:v>0.0</c:v>
                </c:pt>
                <c:pt idx="77" formatCode="0.000">
                  <c:v>0.0</c:v>
                </c:pt>
                <c:pt idx="78" formatCode="0.000">
                  <c:v>0.0</c:v>
                </c:pt>
                <c:pt idx="79" formatCode="0.000">
                  <c:v>0.0</c:v>
                </c:pt>
                <c:pt idx="80" formatCode="0.000">
                  <c:v>0.0</c:v>
                </c:pt>
                <c:pt idx="81" formatCode="0.000">
                  <c:v>0.0</c:v>
                </c:pt>
                <c:pt idx="82" formatCode="0.000">
                  <c:v>0.0</c:v>
                </c:pt>
                <c:pt idx="83" formatCode="0.000">
                  <c:v>0.0</c:v>
                </c:pt>
                <c:pt idx="84" formatCode="0.000">
                  <c:v>0.0</c:v>
                </c:pt>
                <c:pt idx="85" formatCode="0.000">
                  <c:v>0.0</c:v>
                </c:pt>
                <c:pt idx="86" formatCode="0.000">
                  <c:v>0.0</c:v>
                </c:pt>
                <c:pt idx="87" formatCode="0.000">
                  <c:v>0.0</c:v>
                </c:pt>
                <c:pt idx="88" formatCode="0.000">
                  <c:v>0.0</c:v>
                </c:pt>
                <c:pt idx="89" formatCode="0.000">
                  <c:v>0.0</c:v>
                </c:pt>
                <c:pt idx="90" formatCode="0.000">
                  <c:v>0.0</c:v>
                </c:pt>
                <c:pt idx="91" formatCode="0.000">
                  <c:v>0.0</c:v>
                </c:pt>
                <c:pt idx="92" formatCode="0.000">
                  <c:v>0.0</c:v>
                </c:pt>
                <c:pt idx="93" formatCode="0.000">
                  <c:v>0.0</c:v>
                </c:pt>
                <c:pt idx="94" formatCode="0.000">
                  <c:v>0.0</c:v>
                </c:pt>
                <c:pt idx="95" formatCode="0.000">
                  <c:v>0.0</c:v>
                </c:pt>
                <c:pt idx="96" formatCode="0.000">
                  <c:v>0.0</c:v>
                </c:pt>
                <c:pt idx="97" formatCode="0.000">
                  <c:v>0.0</c:v>
                </c:pt>
                <c:pt idx="98" formatCode="0.000">
                  <c:v>0.0</c:v>
                </c:pt>
                <c:pt idx="99" formatCode="0.000">
                  <c:v>0.0</c:v>
                </c:pt>
                <c:pt idx="100" formatCode="0.000">
                  <c:v>0.0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'Z-Regler'!$J$14</c:f>
              <c:strCache>
                <c:ptCount val="1"/>
                <c:pt idx="0">
                  <c:v>x1(k)/IN</c:v>
                </c:pt>
              </c:strCache>
            </c:strRef>
          </c:tx>
          <c:cat>
            <c:numRef>
              <c:f>'Z-Regler'!$A$15:$A$115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'Z-Regler'!$J$15:$J$115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2.298945752243737</c:v>
                </c:pt>
                <c:pt idx="2">
                  <c:v>2.114060628703809</c:v>
                </c:pt>
                <c:pt idx="3">
                  <c:v>1.877979886290745</c:v>
                </c:pt>
                <c:pt idx="4">
                  <c:v>1.66619816917561</c:v>
                </c:pt>
                <c:pt idx="5">
                  <c:v>1.478232507839183</c:v>
                </c:pt>
                <c:pt idx="6">
                  <c:v>1.311469297847416</c:v>
                </c:pt>
                <c:pt idx="7">
                  <c:v>1.163519004284689</c:v>
                </c:pt>
                <c:pt idx="8">
                  <c:v>1.032259369378505</c:v>
                </c:pt>
                <c:pt idx="9">
                  <c:v>0.915807478571666</c:v>
                </c:pt>
                <c:pt idx="10">
                  <c:v>0.81249283143857</c:v>
                </c:pt>
                <c:pt idx="11">
                  <c:v>0.720833381016483</c:v>
                </c:pt>
                <c:pt idx="12">
                  <c:v>0.639514273950781</c:v>
                </c:pt>
                <c:pt idx="13">
                  <c:v>0.567368988947313</c:v>
                </c:pt>
                <c:pt idx="14">
                  <c:v>0.50336260304312</c:v>
                </c:pt>
                <c:pt idx="15">
                  <c:v>0.446576945653041</c:v>
                </c:pt>
                <c:pt idx="16">
                  <c:v>0.396197427427313</c:v>
                </c:pt>
                <c:pt idx="17">
                  <c:v>0.351501354980329</c:v>
                </c:pt>
                <c:pt idx="18">
                  <c:v>0.311847563865554</c:v>
                </c:pt>
                <c:pt idx="19">
                  <c:v>0.27666722108176</c:v>
                </c:pt>
                <c:pt idx="20">
                  <c:v>0.245455665172693</c:v>
                </c:pt>
                <c:pt idx="21">
                  <c:v>0.217765166866532</c:v>
                </c:pt>
                <c:pt idx="22">
                  <c:v>0.193198506406624</c:v>
                </c:pt>
                <c:pt idx="23">
                  <c:v>0.171403275440406</c:v>
                </c:pt>
                <c:pt idx="24">
                  <c:v>0.152066821727212</c:v>
                </c:pt>
                <c:pt idx="25">
                  <c:v>0.134911764146862</c:v>
                </c:pt>
                <c:pt idx="26">
                  <c:v>0.119692013671918</c:v>
                </c:pt>
                <c:pt idx="27">
                  <c:v>0.106189243224508</c:v>
                </c:pt>
                <c:pt idx="28">
                  <c:v>0.0942097557778767</c:v>
                </c:pt>
                <c:pt idx="29">
                  <c:v>0.0835817057756259</c:v>
                </c:pt>
                <c:pt idx="30">
                  <c:v>0.0741526340099463</c:v>
                </c:pt>
                <c:pt idx="31">
                  <c:v>0.0657872805967131</c:v>
                </c:pt>
                <c:pt idx="32">
                  <c:v>0.0583656446746063</c:v>
                </c:pt>
                <c:pt idx="33">
                  <c:v>0.0517812629946681</c:v>
                </c:pt>
                <c:pt idx="34">
                  <c:v>0.0459396827066926</c:v>
                </c:pt>
                <c:pt idx="35">
                  <c:v>0.0407571064345977</c:v>
                </c:pt>
                <c:pt idx="36">
                  <c:v>0.036159190204401</c:v>
                </c:pt>
                <c:pt idx="37">
                  <c:v>0.0320799769810978</c:v>
                </c:pt>
                <c:pt idx="38">
                  <c:v>0.0284609505160464</c:v>
                </c:pt>
                <c:pt idx="39">
                  <c:v>0.0252501959323139</c:v>
                </c:pt>
                <c:pt idx="40">
                  <c:v>0.0224016550065952</c:v>
                </c:pt>
                <c:pt idx="41">
                  <c:v>0.0198744654647327</c:v>
                </c:pt>
                <c:pt idx="42">
                  <c:v>0.0176323748130467</c:v>
                </c:pt>
                <c:pt idx="43">
                  <c:v>0.0156432202968912</c:v>
                </c:pt>
                <c:pt idx="44">
                  <c:v>0.01387846752645</c:v>
                </c:pt>
                <c:pt idx="45">
                  <c:v>0.012312801151372</c:v>
                </c:pt>
                <c:pt idx="46">
                  <c:v>0.0109237617124728</c:v>
                </c:pt>
                <c:pt idx="47">
                  <c:v>0.00969142346115012</c:v>
                </c:pt>
                <c:pt idx="48">
                  <c:v>0.00859810852483992</c:v>
                </c:pt>
                <c:pt idx="49">
                  <c:v>0.00762813331821435</c:v>
                </c:pt>
                <c:pt idx="50">
                  <c:v>0.00676758356240184</c:v>
                </c:pt>
                <c:pt idx="51">
                  <c:v>0.00600411468487683</c:v>
                </c:pt>
                <c:pt idx="52">
                  <c:v>0.00532677473676619</c:v>
                </c:pt>
                <c:pt idx="53">
                  <c:v>0.0047258472873144</c:v>
                </c:pt>
                <c:pt idx="54">
                  <c:v>0.0041927120418418</c:v>
                </c:pt>
                <c:pt idx="55">
                  <c:v>0.00371972118375245</c:v>
                </c:pt>
                <c:pt idx="56">
                  <c:v>0.00330008966673066</c:v>
                </c:pt>
                <c:pt idx="57">
                  <c:v>0.00292779788335494</c:v>
                </c:pt>
                <c:pt idx="58">
                  <c:v>0.00259750531393022</c:v>
                </c:pt>
                <c:pt idx="59">
                  <c:v>0.00230447391681375</c:v>
                </c:pt>
                <c:pt idx="60">
                  <c:v>0.0020445001612877</c:v>
                </c:pt>
                <c:pt idx="61">
                  <c:v>-2.297131897515763</c:v>
                </c:pt>
                <c:pt idx="62">
                  <c:v>-2.112451399692</c:v>
                </c:pt>
                <c:pt idx="63">
                  <c:v>-1.876552198630586</c:v>
                </c:pt>
                <c:pt idx="64">
                  <c:v>-1.664931542710382</c:v>
                </c:pt>
                <c:pt idx="65">
                  <c:v>-1.47710877283244</c:v>
                </c:pt>
                <c:pt idx="66">
                  <c:v>-1.310472334338406</c:v>
                </c:pt>
                <c:pt idx="67">
                  <c:v>-1.162634510847772</c:v>
                </c:pt>
                <c:pt idx="68">
                  <c:v>-1.031474657969431</c:v>
                </c:pt>
                <c:pt idx="69">
                  <c:v>-0.915111292517786</c:v>
                </c:pt>
                <c:pt idx="70">
                  <c:v>-0.811875183962043</c:v>
                </c:pt>
                <c:pt idx="71">
                  <c:v>-0.720285411974106</c:v>
                </c:pt>
                <c:pt idx="72">
                  <c:v>-0.63902812273538</c:v>
                </c:pt>
                <c:pt idx="73">
                  <c:v>-0.566937681727454</c:v>
                </c:pt>
                <c:pt idx="74">
                  <c:v>-0.502979952723612</c:v>
                </c:pt>
                <c:pt idx="75">
                  <c:v>-0.446237463121153</c:v>
                </c:pt>
                <c:pt idx="76">
                  <c:v>-0.395896242811537</c:v>
                </c:pt>
                <c:pt idx="77">
                  <c:v>-0.351234147792156</c:v>
                </c:pt>
                <c:pt idx="78">
                  <c:v>-0.31161050102213</c:v>
                </c:pt>
                <c:pt idx="79">
                  <c:v>-0.276456901920376</c:v>
                </c:pt>
                <c:pt idx="80">
                  <c:v>-0.245269072668332</c:v>
                </c:pt>
                <c:pt idx="81">
                  <c:v>-0.217599624352695</c:v>
                </c:pt>
                <c:pt idx="82">
                  <c:v>-0.193051639178589</c:v>
                </c:pt>
                <c:pt idx="83">
                  <c:v>-0.17127297669013</c:v>
                </c:pt>
                <c:pt idx="84">
                  <c:v>-0.1519512223212</c:v>
                </c:pt>
                <c:pt idx="85">
                  <c:v>-0.134809205813478</c:v>
                </c:pt>
                <c:pt idx="86">
                  <c:v>-0.119601025213504</c:v>
                </c:pt>
                <c:pt idx="87">
                  <c:v>-0.106108519413079</c:v>
                </c:pt>
                <c:pt idx="88">
                  <c:v>-0.094138138631646</c:v>
                </c:pt>
                <c:pt idx="89">
                  <c:v>-0.0835181679477722</c:v>
                </c:pt>
                <c:pt idx="90">
                  <c:v>-0.074096264051342</c:v>
                </c:pt>
                <c:pt idx="91">
                  <c:v>-0.0657372698812014</c:v>
                </c:pt>
                <c:pt idx="92">
                  <c:v>-0.0583212757992707</c:v>
                </c:pt>
                <c:pt idx="93">
                  <c:v>-0.0517418994886989</c:v>
                </c:pt>
                <c:pt idx="94">
                  <c:v>-0.0459047599012246</c:v>
                </c:pt>
                <c:pt idx="95">
                  <c:v>-0.0407261233625435</c:v>
                </c:pt>
                <c:pt idx="96">
                  <c:v>-0.0361317024140859</c:v>
                </c:pt>
                <c:pt idx="97">
                  <c:v>-0.0320555901606081</c:v>
                </c:pt>
                <c:pt idx="98">
                  <c:v>-0.028439314836831</c:v>
                </c:pt>
                <c:pt idx="99">
                  <c:v>-0.0252310010308995</c:v>
                </c:pt>
                <c:pt idx="100">
                  <c:v>-0.0223846255324268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'Z-Regler'!$K$14</c:f>
              <c:strCache>
                <c:ptCount val="1"/>
                <c:pt idx="0">
                  <c:v>x2(k)/fN</c:v>
                </c:pt>
              </c:strCache>
            </c:strRef>
          </c:tx>
          <c:cat>
            <c:numRef>
              <c:f>'Z-Regler'!$A$15:$A$115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'Z-Regler'!$K$15:$K$115</c:f>
              <c:numCache>
                <c:formatCode>0.00</c:formatCode>
                <c:ptCount val="101"/>
                <c:pt idx="1">
                  <c:v>0.174653633608883</c:v>
                </c:pt>
                <c:pt idx="2">
                  <c:v>0.335261325248513</c:v>
                </c:pt>
                <c:pt idx="3">
                  <c:v>0.477933683073814</c:v>
                </c:pt>
                <c:pt idx="4">
                  <c:v>0.604516732836937</c:v>
                </c:pt>
                <c:pt idx="5">
                  <c:v>0.716819808523219</c:v>
                </c:pt>
                <c:pt idx="6">
                  <c:v>0.816453685491385</c:v>
                </c:pt>
                <c:pt idx="7">
                  <c:v>0.904847603300441</c:v>
                </c:pt>
                <c:pt idx="8">
                  <c:v>0.983269571071021</c:v>
                </c:pt>
                <c:pt idx="9">
                  <c:v>1.052844550673137</c:v>
                </c:pt>
                <c:pt idx="10">
                  <c:v>1.11457059407952</c:v>
                </c:pt>
                <c:pt idx="11">
                  <c:v>1.169333160398552</c:v>
                </c:pt>
                <c:pt idx="12">
                  <c:v>1.217917817770845</c:v>
                </c:pt>
                <c:pt idx="13">
                  <c:v>1.261021512331681</c:v>
                </c:pt>
                <c:pt idx="14">
                  <c:v>1.299262565892212</c:v>
                </c:pt>
                <c:pt idx="15">
                  <c:v>1.333189545755976</c:v>
                </c:pt>
                <c:pt idx="16">
                  <c:v>1.363289133908127</c:v>
                </c:pt>
                <c:pt idx="17">
                  <c:v>1.389993108460742</c:v>
                </c:pt>
                <c:pt idx="18">
                  <c:v>1.413684537502963</c:v>
                </c:pt>
                <c:pt idx="19">
                  <c:v>1.43470327420662</c:v>
                </c:pt>
                <c:pt idx="20">
                  <c:v>1.453350832014565</c:v>
                </c:pt>
                <c:pt idx="21">
                  <c:v>1.469894709846204</c:v>
                </c:pt>
                <c:pt idx="22">
                  <c:v>1.484572229365224</c:v>
                </c:pt>
                <c:pt idx="23">
                  <c:v>1.497593939355081</c:v>
                </c:pt>
                <c:pt idx="24">
                  <c:v>1.509146636037937</c:v>
                </c:pt>
                <c:pt idx="25">
                  <c:v>1.51939604266349</c:v>
                </c:pt>
                <c:pt idx="26">
                  <c:v>1.528489186806348</c:v>
                </c:pt>
                <c:pt idx="27">
                  <c:v>1.536556509474243</c:v>
                </c:pt>
                <c:pt idx="28">
                  <c:v>1.543713736282206</c:v>
                </c:pt>
                <c:pt idx="29">
                  <c:v>1.550063537534669</c:v>
                </c:pt>
                <c:pt idx="30">
                  <c:v>1.555697001029346</c:v>
                </c:pt>
                <c:pt idx="31">
                  <c:v>1.560694938710237</c:v>
                </c:pt>
                <c:pt idx="32">
                  <c:v>1.565129045913678</c:v>
                </c:pt>
                <c:pt idx="33">
                  <c:v>1.569062929836797</c:v>
                </c:pt>
                <c:pt idx="34">
                  <c:v>1.572553021981744</c:v>
                </c:pt>
                <c:pt idx="35">
                  <c:v>1.575649387664683</c:v>
                </c:pt>
                <c:pt idx="36">
                  <c:v>1.578396444201963</c:v>
                </c:pt>
                <c:pt idx="37">
                  <c:v>1.580833598075807</c:v>
                </c:pt>
                <c:pt idx="38">
                  <c:v>1.582995810219673</c:v>
                </c:pt>
                <c:pt idx="39">
                  <c:v>1.584914097532286</c:v>
                </c:pt>
                <c:pt idx="40">
                  <c:v>1.586615977814557</c:v>
                </c:pt>
                <c:pt idx="41">
                  <c:v>1.588125864511997</c:v>
                </c:pt>
                <c:pt idx="42">
                  <c:v>1.589465416925205</c:v>
                </c:pt>
                <c:pt idx="43">
                  <c:v>1.590653850912188</c:v>
                </c:pt>
                <c:pt idx="44">
                  <c:v>1.591708214539538</c:v>
                </c:pt>
                <c:pt idx="45">
                  <c:v>1.592643632636678</c:v>
                </c:pt>
                <c:pt idx="46">
                  <c:v>1.593473523761294</c:v>
                </c:pt>
                <c:pt idx="47">
                  <c:v>1.594209792688336</c:v>
                </c:pt>
                <c:pt idx="48">
                  <c:v>1.594863001183822</c:v>
                </c:pt>
                <c:pt idx="49">
                  <c:v>1.595442519513203</c:v>
                </c:pt>
                <c:pt idx="50">
                  <c:v>1.595956660857675</c:v>
                </c:pt>
                <c:pt idx="51">
                  <c:v>1.596412800566624</c:v>
                </c:pt>
                <c:pt idx="52">
                  <c:v>1.596817481956903</c:v>
                </c:pt>
                <c:pt idx="53">
                  <c:v>1.5971765101766</c:v>
                </c:pt>
                <c:pt idx="54">
                  <c:v>1.597495035479804</c:v>
                </c:pt>
                <c:pt idx="55">
                  <c:v>1.59777762710691</c:v>
                </c:pt>
                <c:pt idx="56">
                  <c:v>1.598028338830302</c:v>
                </c:pt>
                <c:pt idx="57">
                  <c:v>1.598250767105654</c:v>
                </c:pt>
                <c:pt idx="58">
                  <c:v>1.59844810266303</c:v>
                </c:pt>
                <c:pt idx="59">
                  <c:v>1.598623176277854</c:v>
                </c:pt>
                <c:pt idx="60">
                  <c:v>1.598778499378338</c:v>
                </c:pt>
                <c:pt idx="61">
                  <c:v>1.424262666462999</c:v>
                </c:pt>
                <c:pt idx="62">
                  <c:v>1.263777229858725</c:v>
                </c:pt>
                <c:pt idx="63">
                  <c:v>1.121213335157123</c:v>
                </c:pt>
                <c:pt idx="64">
                  <c:v>0.994726512507825</c:v>
                </c:pt>
                <c:pt idx="65">
                  <c:v>0.882508808301905</c:v>
                </c:pt>
                <c:pt idx="66">
                  <c:v>0.782950671833163</c:v>
                </c:pt>
                <c:pt idx="67">
                  <c:v>0.69462395003885</c:v>
                </c:pt>
                <c:pt idx="68">
                  <c:v>0.616261597724092</c:v>
                </c:pt>
                <c:pt idx="69">
                  <c:v>0.546739508201639</c:v>
                </c:pt>
                <c:pt idx="70">
                  <c:v>0.485060388206111</c:v>
                </c:pt>
                <c:pt idx="71">
                  <c:v>0.430339451744705</c:v>
                </c:pt>
                <c:pt idx="72">
                  <c:v>0.381791727856453</c:v>
                </c:pt>
                <c:pt idx="73">
                  <c:v>0.338720800216314</c:v>
                </c:pt>
                <c:pt idx="74">
                  <c:v>0.30050881705409</c:v>
                </c:pt>
                <c:pt idx="75">
                  <c:v>0.266607628080643</c:v>
                </c:pt>
                <c:pt idx="76">
                  <c:v>0.23653092128073</c:v>
                </c:pt>
                <c:pt idx="77">
                  <c:v>0.209847246774906</c:v>
                </c:pt>
                <c:pt idx="78">
                  <c:v>0.186173827677877</c:v>
                </c:pt>
                <c:pt idx="79">
                  <c:v>0.16517106917019</c:v>
                </c:pt>
                <c:pt idx="80">
                  <c:v>0.146537687015958</c:v>
                </c:pt>
                <c:pt idx="81">
                  <c:v>0.130006385645304</c:v>
                </c:pt>
                <c:pt idx="82">
                  <c:v>0.115340023803672</c:v>
                </c:pt>
                <c:pt idx="83">
                  <c:v>0.102328212764309</c:v>
                </c:pt>
                <c:pt idx="84">
                  <c:v>0.0907842983053413</c:v>
                </c:pt>
                <c:pt idx="85">
                  <c:v>0.0805426831579321</c:v>
                </c:pt>
                <c:pt idx="86">
                  <c:v>0.0714564515161028</c:v>
                </c:pt>
                <c:pt idx="87">
                  <c:v>0.063395261531839</c:v>
                </c:pt>
                <c:pt idx="88">
                  <c:v>0.0562434755633589</c:v>
                </c:pt>
                <c:pt idx="89">
                  <c:v>0.0498985013549858</c:v>
                </c:pt>
                <c:pt idx="90">
                  <c:v>0.0442693203528766</c:v>
                </c:pt>
                <c:pt idx="91">
                  <c:v>0.039275182045318</c:v>
                </c:pt>
                <c:pt idx="92">
                  <c:v>0.0348444455979238</c:v>
                </c:pt>
                <c:pt idx="93">
                  <c:v>0.0309135521670079</c:v>
                </c:pt>
                <c:pt idx="94">
                  <c:v>0.0274261131489853</c:v>
                </c:pt>
                <c:pt idx="95">
                  <c:v>0.0243321012867525</c:v>
                </c:pt>
                <c:pt idx="96">
                  <c:v>0.0215871330294824</c:v>
                </c:pt>
                <c:pt idx="97">
                  <c:v>0.0191518318512953</c:v>
                </c:pt>
                <c:pt idx="98">
                  <c:v>0.0169912633956231</c:v>
                </c:pt>
                <c:pt idx="99">
                  <c:v>0.0150744343424211</c:v>
                </c:pt>
                <c:pt idx="100">
                  <c:v>0.0133738478094866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350104"/>
        <c:axId val="2071353112"/>
      </c:lineChart>
      <c:catAx>
        <c:axId val="207135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353112"/>
        <c:crosses val="autoZero"/>
        <c:auto val="1"/>
        <c:lblAlgn val="ctr"/>
        <c:lblOffset val="100"/>
        <c:noMultiLvlLbl val="0"/>
      </c:catAx>
      <c:valAx>
        <c:axId val="2071353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350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500714545913"/>
          <c:y val="0.0712485939257592"/>
          <c:w val="0.109231279364101"/>
          <c:h val="0.27123423401862"/>
        </c:manualLayout>
      </c:layout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'Z-Regler'!$S$14</c:f>
              <c:strCache>
                <c:ptCount val="1"/>
                <c:pt idx="0">
                  <c:v>x2b(k)</c:v>
                </c:pt>
              </c:strCache>
            </c:strRef>
          </c:tx>
          <c:val>
            <c:numRef>
              <c:f>'Z-Regler'!$S$14:$S$115</c:f>
              <c:numCache>
                <c:formatCode>0.00</c:formatCode>
                <c:ptCount val="102"/>
                <c:pt idx="0">
                  <c:v>0.0</c:v>
                </c:pt>
                <c:pt idx="1">
                  <c:v>0.0</c:v>
                </c:pt>
                <c:pt idx="2">
                  <c:v>54.87617167991098</c:v>
                </c:pt>
                <c:pt idx="3">
                  <c:v>105.3391083930828</c:v>
                </c:pt>
                <c:pt idx="4">
                  <c:v>150.1667632217925</c:v>
                </c:pt>
                <c:pt idx="5">
                  <c:v>189.9391574573656</c:v>
                </c:pt>
                <c:pt idx="6">
                  <c:v>225.2247838379954</c:v>
                </c:pt>
                <c:pt idx="7">
                  <c:v>256.5297479813933</c:v>
                </c:pt>
                <c:pt idx="8">
                  <c:v>284.3031169569986</c:v>
                </c:pt>
                <c:pt idx="9">
                  <c:v>308.9432992305149</c:v>
                </c:pt>
                <c:pt idx="10">
                  <c:v>330.8037578215</c:v>
                </c:pt>
                <c:pt idx="11">
                  <c:v>350.1980806597854</c:v>
                </c:pt>
                <c:pt idx="12">
                  <c:v>367.4044789972253</c:v>
                </c:pt>
                <c:pt idx="13">
                  <c:v>382.6697783435998</c:v>
                </c:pt>
                <c:pt idx="14">
                  <c:v>396.2129591746146</c:v>
                </c:pt>
                <c:pt idx="15">
                  <c:v>408.2282982033331</c:v>
                </c:pt>
                <c:pt idx="16">
                  <c:v>418.888155276528</c:v>
                </c:pt>
                <c:pt idx="17">
                  <c:v>428.3454458739336</c:v>
                </c:pt>
                <c:pt idx="18">
                  <c:v>436.7358346783657</c:v>
                </c:pt>
                <c:pt idx="19">
                  <c:v>444.1796816834313</c:v>
                </c:pt>
                <c:pt idx="20">
                  <c:v>450.7837687557203</c:v>
                </c:pt>
                <c:pt idx="21">
                  <c:v>456.6428314189768</c:v>
                </c:pt>
                <c:pt idx="22">
                  <c:v>461.8409178336777</c:v>
                </c:pt>
                <c:pt idx="23">
                  <c:v>466.4525944665539</c:v>
                </c:pt>
                <c:pt idx="24">
                  <c:v>470.5440157453666</c:v>
                </c:pt>
                <c:pt idx="25">
                  <c:v>474.1738730431201</c:v>
                </c:pt>
                <c:pt idx="26">
                  <c:v>477.394236604869</c:v>
                </c:pt>
                <c:pt idx="27">
                  <c:v>480.2513024945551</c:v>
                </c:pt>
                <c:pt idx="28">
                  <c:v>482.7860552768076</c:v>
                </c:pt>
                <c:pt idx="29">
                  <c:v>485.0348559398697</c:v>
                </c:pt>
                <c:pt idx="30">
                  <c:v>487.0299634933935</c:v>
                </c:pt>
                <c:pt idx="31">
                  <c:v>488.7999977234208</c:v>
                </c:pt>
                <c:pt idx="32">
                  <c:v>490.3703497427566</c:v>
                </c:pt>
                <c:pt idx="33">
                  <c:v>491.7635462260779</c:v>
                </c:pt>
                <c:pt idx="34">
                  <c:v>492.9995725547222</c:v>
                </c:pt>
                <c:pt idx="35">
                  <c:v>494.0961595066643</c:v>
                </c:pt>
                <c:pt idx="36">
                  <c:v>495.069037604244</c:v>
                </c:pt>
                <c:pt idx="37">
                  <c:v>495.9321627682573</c:v>
                </c:pt>
                <c:pt idx="38">
                  <c:v>496.6979165154191</c:v>
                </c:pt>
                <c:pt idx="39">
                  <c:v>497.3772835710218</c:v>
                </c:pt>
                <c:pt idx="40">
                  <c:v>497.9800094446446</c:v>
                </c:pt>
                <c:pt idx="41">
                  <c:v>498.5147402293341</c:v>
                </c:pt>
                <c:pt idx="42">
                  <c:v>498.98914662967</c:v>
                </c:pt>
                <c:pt idx="43">
                  <c:v>499.4100339978997</c:v>
                </c:pt>
                <c:pt idx="44">
                  <c:v>499.7834399566099</c:v>
                </c:pt>
                <c:pt idx="45">
                  <c:v>500.1147210083234</c:v>
                </c:pt>
                <c:pt idx="46">
                  <c:v>500.4086293744447</c:v>
                </c:pt>
                <c:pt idx="47">
                  <c:v>500.669381165799</c:v>
                </c:pt>
                <c:pt idx="48">
                  <c:v>500.9007168626758</c:v>
                </c:pt>
                <c:pt idx="49">
                  <c:v>501.1059549719576</c:v>
                </c:pt>
                <c:pt idx="50">
                  <c:v>501.2880396310492</c:v>
                </c:pt>
                <c:pt idx="51">
                  <c:v>501.4495828414822</c:v>
                </c:pt>
                <c:pt idx="52">
                  <c:v>501.5929019380341</c:v>
                </c:pt>
                <c:pt idx="53">
                  <c:v>501.7200528308596</c:v>
                </c:pt>
                <c:pt idx="54">
                  <c:v>501.8328594974885</c:v>
                </c:pt>
                <c:pt idx="55">
                  <c:v>501.9329401477551</c:v>
                </c:pt>
                <c:pt idx="56">
                  <c:v>502.0217304369918</c:v>
                </c:pt>
                <c:pt idx="57">
                  <c:v>502.1005040604817</c:v>
                </c:pt>
                <c:pt idx="58">
                  <c:v>502.1703910245974</c:v>
                </c:pt>
                <c:pt idx="59">
                  <c:v>502.2323938567248</c:v>
                </c:pt>
                <c:pt idx="60">
                  <c:v>502.2874019865023</c:v>
                </c:pt>
                <c:pt idx="61">
                  <c:v>502.3362045046742</c:v>
                </c:pt>
                <c:pt idx="62">
                  <c:v>447.5033298026749</c:v>
                </c:pt>
                <c:pt idx="63">
                  <c:v>397.078805621612</c:v>
                </c:pt>
                <c:pt idx="64">
                  <c:v>352.2852299063687</c:v>
                </c:pt>
                <c:pt idx="65">
                  <c:v>312.5430702299592</c:v>
                </c:pt>
                <c:pt idx="66">
                  <c:v>277.2842675684593</c:v>
                </c:pt>
                <c:pt idx="67">
                  <c:v>246.0031010899803</c:v>
                </c:pt>
                <c:pt idx="68">
                  <c:v>218.2508451022072</c:v>
                </c:pt>
                <c:pt idx="69">
                  <c:v>193.6293940049101</c:v>
                </c:pt>
                <c:pt idx="70">
                  <c:v>171.7855534769553</c:v>
                </c:pt>
                <c:pt idx="71">
                  <c:v>152.4059739743603</c:v>
                </c:pt>
                <c:pt idx="72">
                  <c:v>135.2126557381865</c:v>
                </c:pt>
                <c:pt idx="73">
                  <c:v>119.9589608924979</c:v>
                </c:pt>
                <c:pt idx="74">
                  <c:v>106.426075427966</c:v>
                </c:pt>
                <c:pt idx="75">
                  <c:v>94.41987031839534</c:v>
                </c:pt>
                <c:pt idx="76">
                  <c:v>83.76811674293811</c:v>
                </c:pt>
                <c:pt idx="77">
                  <c:v>74.31801546640554</c:v>
                </c:pt>
                <c:pt idx="78">
                  <c:v>65.93400493667553</c:v>
                </c:pt>
                <c:pt idx="79">
                  <c:v>58.49581665638916</c:v>
                </c:pt>
                <c:pt idx="80">
                  <c:v>51.89674993327388</c:v>
                </c:pt>
                <c:pt idx="81">
                  <c:v>46.04214126041426</c:v>
                </c:pt>
                <c:pt idx="82">
                  <c:v>40.84800636975476</c:v>
                </c:pt>
                <c:pt idx="83">
                  <c:v>36.23983547911369</c:v>
                </c:pt>
                <c:pt idx="84">
                  <c:v>32.15152445054596</c:v>
                </c:pt>
                <c:pt idx="85">
                  <c:v>28.52442652753832</c:v>
                </c:pt>
                <c:pt idx="86">
                  <c:v>25.30651104822233</c:v>
                </c:pt>
                <c:pt idx="87">
                  <c:v>22.45161706635956</c:v>
                </c:pt>
                <c:pt idx="88">
                  <c:v>19.91879117330388</c:v>
                </c:pt>
                <c:pt idx="89">
                  <c:v>17.67170002200743</c:v>
                </c:pt>
                <c:pt idx="90">
                  <c:v>15.6781091257366</c:v>
                </c:pt>
                <c:pt idx="91">
                  <c:v>13.90942045487388</c:v>
                </c:pt>
                <c:pt idx="92">
                  <c:v>12.34026219863896</c:v>
                </c:pt>
                <c:pt idx="93">
                  <c:v>10.94812480686769</c:v>
                </c:pt>
                <c:pt idx="94">
                  <c:v>9.713038090873915</c:v>
                </c:pt>
                <c:pt idx="95">
                  <c:v>8.6172847514112</c:v>
                </c:pt>
                <c:pt idx="96">
                  <c:v>7.645146224297649</c:v>
                </c:pt>
                <c:pt idx="97">
                  <c:v>6.782677197863387</c:v>
                </c:pt>
                <c:pt idx="98">
                  <c:v>6.017505567677005</c:v>
                </c:pt>
                <c:pt idx="99">
                  <c:v>5.338654958904778</c:v>
                </c:pt>
                <c:pt idx="100">
                  <c:v>4.736387270388715</c:v>
                </c:pt>
                <c:pt idx="101">
                  <c:v>4.202062981740714</c:v>
                </c:pt>
              </c:numCache>
            </c:numRef>
          </c:val>
          <c:smooth val="0"/>
        </c:ser>
        <c:ser>
          <c:idx val="3"/>
          <c:order val="1"/>
          <c:tx>
            <c:v>x2(k)</c:v>
          </c:tx>
          <c:val>
            <c:numRef>
              <c:f>'Z-Regler'!$G$14:$G$115</c:f>
              <c:numCache>
                <c:formatCode>General</c:formatCode>
                <c:ptCount val="102"/>
                <c:pt idx="0">
                  <c:v>0.0</c:v>
                </c:pt>
                <c:pt idx="1">
                  <c:v>0.0</c:v>
                </c:pt>
                <c:pt idx="2" formatCode="0.00">
                  <c:v>54.87617167991098</c:v>
                </c:pt>
                <c:pt idx="3" formatCode="0.00">
                  <c:v>105.3391083930828</c:v>
                </c:pt>
                <c:pt idx="4" formatCode="0.00">
                  <c:v>150.1667632217925</c:v>
                </c:pt>
                <c:pt idx="5" formatCode="0.00">
                  <c:v>189.9391574573656</c:v>
                </c:pt>
                <c:pt idx="6" formatCode="0.00">
                  <c:v>225.2247838379953</c:v>
                </c:pt>
                <c:pt idx="7" formatCode="0.00">
                  <c:v>256.5297479813933</c:v>
                </c:pt>
                <c:pt idx="8" formatCode="0.00">
                  <c:v>284.3031169569985</c:v>
                </c:pt>
                <c:pt idx="9" formatCode="0.00">
                  <c:v>308.9432992305147</c:v>
                </c:pt>
                <c:pt idx="10" formatCode="0.00">
                  <c:v>330.8037578214997</c:v>
                </c:pt>
                <c:pt idx="11" formatCode="0.00">
                  <c:v>350.1980806597851</c:v>
                </c:pt>
                <c:pt idx="12" formatCode="0.00">
                  <c:v>367.404478997225</c:v>
                </c:pt>
                <c:pt idx="13" formatCode="0.00">
                  <c:v>382.6697783435995</c:v>
                </c:pt>
                <c:pt idx="14" formatCode="0.00">
                  <c:v>396.2129591746143</c:v>
                </c:pt>
                <c:pt idx="15" formatCode="0.00">
                  <c:v>408.2282982033329</c:v>
                </c:pt>
                <c:pt idx="16" formatCode="0.00">
                  <c:v>418.8881552765278</c:v>
                </c:pt>
                <c:pt idx="17" formatCode="0.00">
                  <c:v>428.3454458739333</c:v>
                </c:pt>
                <c:pt idx="18" formatCode="0.00">
                  <c:v>436.7358346783652</c:v>
                </c:pt>
                <c:pt idx="19" formatCode="0.00">
                  <c:v>444.1796816834308</c:v>
                </c:pt>
                <c:pt idx="20" formatCode="0.00">
                  <c:v>450.7837687557198</c:v>
                </c:pt>
                <c:pt idx="21" formatCode="0.00">
                  <c:v>456.6428314189764</c:v>
                </c:pt>
                <c:pt idx="22" formatCode="0.00">
                  <c:v>461.8409178336772</c:v>
                </c:pt>
                <c:pt idx="23" formatCode="0.00">
                  <c:v>466.4525944665533</c:v>
                </c:pt>
                <c:pt idx="24" formatCode="0.00">
                  <c:v>470.5440157453663</c:v>
                </c:pt>
                <c:pt idx="25" formatCode="0.00">
                  <c:v>474.1738730431196</c:v>
                </c:pt>
                <c:pt idx="26" formatCode="0.00">
                  <c:v>477.3942366048684</c:v>
                </c:pt>
                <c:pt idx="27" formatCode="0.00">
                  <c:v>480.2513024945545</c:v>
                </c:pt>
                <c:pt idx="28" formatCode="0.00">
                  <c:v>482.7860552768072</c:v>
                </c:pt>
                <c:pt idx="29" formatCode="0.00">
                  <c:v>485.0348559398692</c:v>
                </c:pt>
                <c:pt idx="30" formatCode="0.00">
                  <c:v>487.029963493393</c:v>
                </c:pt>
                <c:pt idx="31" formatCode="0.00">
                  <c:v>488.7999977234204</c:v>
                </c:pt>
                <c:pt idx="32" formatCode="0.00">
                  <c:v>490.3703497427563</c:v>
                </c:pt>
                <c:pt idx="33" formatCode="0.00">
                  <c:v>491.7635462260776</c:v>
                </c:pt>
                <c:pt idx="34" formatCode="0.00">
                  <c:v>492.9995725547218</c:v>
                </c:pt>
                <c:pt idx="35" formatCode="0.00">
                  <c:v>494.0961595066639</c:v>
                </c:pt>
                <c:pt idx="36" formatCode="0.00">
                  <c:v>495.0690376042434</c:v>
                </c:pt>
                <c:pt idx="37" formatCode="0.00">
                  <c:v>495.9321627682568</c:v>
                </c:pt>
                <c:pt idx="38" formatCode="0.00">
                  <c:v>496.6979165154186</c:v>
                </c:pt>
                <c:pt idx="39" formatCode="0.00">
                  <c:v>497.3772835710212</c:v>
                </c:pt>
                <c:pt idx="40" formatCode="0.00">
                  <c:v>497.9800094446442</c:v>
                </c:pt>
                <c:pt idx="41" formatCode="0.00">
                  <c:v>498.5147402293338</c:v>
                </c:pt>
                <c:pt idx="42" formatCode="0.00">
                  <c:v>498.9891466296696</c:v>
                </c:pt>
                <c:pt idx="43" formatCode="0.00">
                  <c:v>499.4100339978995</c:v>
                </c:pt>
                <c:pt idx="44" formatCode="0.00">
                  <c:v>499.7834399566095</c:v>
                </c:pt>
                <c:pt idx="45" formatCode="0.00">
                  <c:v>500.114721008323</c:v>
                </c:pt>
                <c:pt idx="46" formatCode="0.00">
                  <c:v>500.4086293744442</c:v>
                </c:pt>
                <c:pt idx="47" formatCode="0.00">
                  <c:v>500.6693811657985</c:v>
                </c:pt>
                <c:pt idx="48" formatCode="0.00">
                  <c:v>500.9007168626752</c:v>
                </c:pt>
                <c:pt idx="49" formatCode="0.00">
                  <c:v>501.1059549719569</c:v>
                </c:pt>
                <c:pt idx="50" formatCode="0.00">
                  <c:v>501.2880396310485</c:v>
                </c:pt>
                <c:pt idx="51" formatCode="0.00">
                  <c:v>501.4495828414815</c:v>
                </c:pt>
                <c:pt idx="52" formatCode="0.00">
                  <c:v>501.5929019380333</c:v>
                </c:pt>
                <c:pt idx="53" formatCode="0.00">
                  <c:v>501.7200528308586</c:v>
                </c:pt>
                <c:pt idx="54" formatCode="0.00">
                  <c:v>501.8328594974877</c:v>
                </c:pt>
                <c:pt idx="55" formatCode="0.00">
                  <c:v>501.9329401477545</c:v>
                </c:pt>
                <c:pt idx="56" formatCode="0.00">
                  <c:v>502.0217304369911</c:v>
                </c:pt>
                <c:pt idx="57" formatCode="0.00">
                  <c:v>502.1005040604808</c:v>
                </c:pt>
                <c:pt idx="58" formatCode="0.00">
                  <c:v>502.1703910245965</c:v>
                </c:pt>
                <c:pt idx="59" formatCode="0.00">
                  <c:v>502.2323938567241</c:v>
                </c:pt>
                <c:pt idx="60" formatCode="0.00">
                  <c:v>502.2874019865017</c:v>
                </c:pt>
                <c:pt idx="61" formatCode="0.00">
                  <c:v>502.3362045046737</c:v>
                </c:pt>
                <c:pt idx="62" formatCode="0.00">
                  <c:v>447.5033298026743</c:v>
                </c:pt>
                <c:pt idx="63" formatCode="0.00">
                  <c:v>397.0788056216112</c:v>
                </c:pt>
                <c:pt idx="64" formatCode="0.00">
                  <c:v>352.2852299063681</c:v>
                </c:pt>
                <c:pt idx="65" formatCode="0.00">
                  <c:v>312.5430702299585</c:v>
                </c:pt>
                <c:pt idx="66" formatCode="0.00">
                  <c:v>277.2842675684586</c:v>
                </c:pt>
                <c:pt idx="67" formatCode="0.00">
                  <c:v>246.0031010899797</c:v>
                </c:pt>
                <c:pt idx="68" formatCode="0.00">
                  <c:v>218.2508451022067</c:v>
                </c:pt>
                <c:pt idx="69" formatCode="0.00">
                  <c:v>193.6293940049097</c:v>
                </c:pt>
                <c:pt idx="70" formatCode="0.00">
                  <c:v>171.7855534769549</c:v>
                </c:pt>
                <c:pt idx="71" formatCode="0.00">
                  <c:v>152.40597397436</c:v>
                </c:pt>
                <c:pt idx="72" formatCode="0.00">
                  <c:v>135.2126557381862</c:v>
                </c:pt>
                <c:pt idx="73" formatCode="0.00">
                  <c:v>119.9589608924976</c:v>
                </c:pt>
                <c:pt idx="74" formatCode="0.00">
                  <c:v>106.4260754279658</c:v>
                </c:pt>
                <c:pt idx="75" formatCode="0.00">
                  <c:v>94.41987031839517</c:v>
                </c:pt>
                <c:pt idx="76" formatCode="0.00">
                  <c:v>83.76811674293797</c:v>
                </c:pt>
                <c:pt idx="77" formatCode="0.00">
                  <c:v>74.31801546640541</c:v>
                </c:pt>
                <c:pt idx="78" formatCode="0.00">
                  <c:v>65.9340049366754</c:v>
                </c:pt>
                <c:pt idx="79" formatCode="0.00">
                  <c:v>58.49581665638905</c:v>
                </c:pt>
                <c:pt idx="80" formatCode="0.00">
                  <c:v>51.89674993327378</c:v>
                </c:pt>
                <c:pt idx="81" formatCode="0.00">
                  <c:v>46.04214126041416</c:v>
                </c:pt>
                <c:pt idx="82" formatCode="0.00">
                  <c:v>40.84800636975466</c:v>
                </c:pt>
                <c:pt idx="83" formatCode="0.00">
                  <c:v>36.23983547911359</c:v>
                </c:pt>
                <c:pt idx="84" formatCode="0.00">
                  <c:v>32.15152445054588</c:v>
                </c:pt>
                <c:pt idx="85" formatCode="0.00">
                  <c:v>28.52442652753824</c:v>
                </c:pt>
                <c:pt idx="86" formatCode="0.00">
                  <c:v>25.30651104822226</c:v>
                </c:pt>
                <c:pt idx="87" formatCode="0.00">
                  <c:v>22.4516170663595</c:v>
                </c:pt>
                <c:pt idx="88" formatCode="0.00">
                  <c:v>19.91879117330382</c:v>
                </c:pt>
                <c:pt idx="89" formatCode="0.00">
                  <c:v>17.67170002200737</c:v>
                </c:pt>
                <c:pt idx="90" formatCode="0.00">
                  <c:v>15.67810912573655</c:v>
                </c:pt>
                <c:pt idx="91" formatCode="0.00">
                  <c:v>13.90942045487384</c:v>
                </c:pt>
                <c:pt idx="92" formatCode="0.00">
                  <c:v>12.34026219863892</c:v>
                </c:pt>
                <c:pt idx="93" formatCode="0.00">
                  <c:v>10.94812480686766</c:v>
                </c:pt>
                <c:pt idx="94" formatCode="0.00">
                  <c:v>9.713038090873891</c:v>
                </c:pt>
                <c:pt idx="95" formatCode="0.00">
                  <c:v>8.617284751411176</c:v>
                </c:pt>
                <c:pt idx="96" formatCode="0.00">
                  <c:v>7.64514622429763</c:v>
                </c:pt>
                <c:pt idx="97" formatCode="0.00">
                  <c:v>6.78267719786337</c:v>
                </c:pt>
                <c:pt idx="98" formatCode="0.00">
                  <c:v>6.017505567676989</c:v>
                </c:pt>
                <c:pt idx="99" formatCode="0.00">
                  <c:v>5.338654958904765</c:v>
                </c:pt>
                <c:pt idx="100" formatCode="0.00">
                  <c:v>4.736387270388704</c:v>
                </c:pt>
                <c:pt idx="101" formatCode="0.00">
                  <c:v>4.202062981740704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312152"/>
        <c:axId val="2071303160"/>
      </c:lineChart>
      <c:catAx>
        <c:axId val="2071312152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303160"/>
        <c:crosses val="autoZero"/>
        <c:auto val="1"/>
        <c:lblAlgn val="ctr"/>
        <c:lblOffset val="100"/>
        <c:noMultiLvlLbl val="0"/>
      </c:catAx>
      <c:valAx>
        <c:axId val="20713031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1312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81525486458729"/>
          <c:y val="0.354954797317002"/>
          <c:w val="0.0851020106035512"/>
          <c:h val="0.253053368328959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'Z-Regler'!$R$14</c:f>
              <c:strCache>
                <c:ptCount val="1"/>
                <c:pt idx="0">
                  <c:v>x1b(k)</c:v>
                </c:pt>
              </c:strCache>
            </c:strRef>
          </c:tx>
          <c:val>
            <c:numRef>
              <c:f>'Z-Regler'!$R$14:$R$115</c:f>
              <c:numCache>
                <c:formatCode>0.00</c:formatCode>
                <c:ptCount val="102"/>
                <c:pt idx="0">
                  <c:v>0.0</c:v>
                </c:pt>
                <c:pt idx="1">
                  <c:v>0.0</c:v>
                </c:pt>
                <c:pt idx="2">
                  <c:v>6.896837256731212</c:v>
                </c:pt>
                <c:pt idx="3">
                  <c:v>6.342181886111447</c:v>
                </c:pt>
                <c:pt idx="4">
                  <c:v>5.633939658872251</c:v>
                </c:pt>
                <c:pt idx="5">
                  <c:v>4.998594507526846</c:v>
                </c:pt>
                <c:pt idx="6">
                  <c:v>4.43469752351757</c:v>
                </c:pt>
                <c:pt idx="7">
                  <c:v>3.934407893542271</c:v>
                </c:pt>
                <c:pt idx="8">
                  <c:v>3.490557012854111</c:v>
                </c:pt>
                <c:pt idx="9">
                  <c:v>3.096778108135567</c:v>
                </c:pt>
                <c:pt idx="10">
                  <c:v>2.747422435715094</c:v>
                </c:pt>
                <c:pt idx="11">
                  <c:v>2.437478494315798</c:v>
                </c:pt>
                <c:pt idx="12">
                  <c:v>2.162500143049527</c:v>
                </c:pt>
                <c:pt idx="13">
                  <c:v>1.918542821852412</c:v>
                </c:pt>
                <c:pt idx="14">
                  <c:v>1.702106966842024</c:v>
                </c:pt>
                <c:pt idx="15">
                  <c:v>1.510087809129402</c:v>
                </c:pt>
                <c:pt idx="16">
                  <c:v>1.339730836959177</c:v>
                </c:pt>
                <c:pt idx="17">
                  <c:v>1.188592282282002</c:v>
                </c:pt>
                <c:pt idx="18">
                  <c:v>1.054504064941113</c:v>
                </c:pt>
                <c:pt idx="19">
                  <c:v>0.935542691596765</c:v>
                </c:pt>
                <c:pt idx="20">
                  <c:v>0.830001663245412</c:v>
                </c:pt>
                <c:pt idx="21">
                  <c:v>0.73636699551821</c:v>
                </c:pt>
                <c:pt idx="22">
                  <c:v>0.653295500599768</c:v>
                </c:pt>
                <c:pt idx="23">
                  <c:v>0.579595519219993</c:v>
                </c:pt>
                <c:pt idx="24">
                  <c:v>0.514209826321292</c:v>
                </c:pt>
                <c:pt idx="25">
                  <c:v>0.45620046518178</c:v>
                </c:pt>
                <c:pt idx="26">
                  <c:v>0.404735292440762</c:v>
                </c:pt>
                <c:pt idx="27">
                  <c:v>0.359076041015896</c:v>
                </c:pt>
                <c:pt idx="28">
                  <c:v>0.318567729673589</c:v>
                </c:pt>
                <c:pt idx="29">
                  <c:v>0.282629267333789</c:v>
                </c:pt>
                <c:pt idx="30">
                  <c:v>0.250745117327028</c:v>
                </c:pt>
                <c:pt idx="31">
                  <c:v>0.22245790202993</c:v>
                </c:pt>
                <c:pt idx="32">
                  <c:v>0.197361841790212</c:v>
                </c:pt>
                <c:pt idx="33">
                  <c:v>0.175096934023884</c:v>
                </c:pt>
                <c:pt idx="34">
                  <c:v>0.155343788984112</c:v>
                </c:pt>
                <c:pt idx="35">
                  <c:v>0.137819048120207</c:v>
                </c:pt>
                <c:pt idx="36">
                  <c:v>0.122271319303934</c:v>
                </c:pt>
                <c:pt idx="37">
                  <c:v>0.108477570613331</c:v>
                </c:pt>
                <c:pt idx="38">
                  <c:v>0.0962399309434545</c:v>
                </c:pt>
                <c:pt idx="39">
                  <c:v>0.0853828515482746</c:v>
                </c:pt>
                <c:pt idx="40">
                  <c:v>0.0757505877970175</c:v>
                </c:pt>
                <c:pt idx="41">
                  <c:v>0.0672049650198687</c:v>
                </c:pt>
                <c:pt idx="42">
                  <c:v>0.0596233963942723</c:v>
                </c:pt>
                <c:pt idx="43">
                  <c:v>0.0528971244391982</c:v>
                </c:pt>
                <c:pt idx="44">
                  <c:v>0.0469296608907825</c:v>
                </c:pt>
                <c:pt idx="45">
                  <c:v>0.041635402579459</c:v>
                </c:pt>
                <c:pt idx="46">
                  <c:v>0.0369384034542577</c:v>
                </c:pt>
                <c:pt idx="47">
                  <c:v>0.0327712851375281</c:v>
                </c:pt>
                <c:pt idx="48">
                  <c:v>0.0290742703836031</c:v>
                </c:pt>
                <c:pt idx="49">
                  <c:v>0.0257943255747364</c:v>
                </c:pt>
                <c:pt idx="50">
                  <c:v>0.0228843999548189</c:v>
                </c:pt>
                <c:pt idx="51">
                  <c:v>0.0203027506873923</c:v>
                </c:pt>
                <c:pt idx="52">
                  <c:v>0.0180123440548527</c:v>
                </c:pt>
                <c:pt idx="53">
                  <c:v>0.0159803242105454</c:v>
                </c:pt>
                <c:pt idx="54">
                  <c:v>0.0141775418621251</c:v>
                </c:pt>
                <c:pt idx="55">
                  <c:v>0.0125781361256827</c:v>
                </c:pt>
                <c:pt idx="56">
                  <c:v>0.0111591635514401</c:v>
                </c:pt>
                <c:pt idx="57">
                  <c:v>0.0099002690004113</c:v>
                </c:pt>
                <c:pt idx="58">
                  <c:v>0.00878339365027614</c:v>
                </c:pt>
                <c:pt idx="59">
                  <c:v>0.00779251594195784</c:v>
                </c:pt>
                <c:pt idx="60">
                  <c:v>0.00691342175059617</c:v>
                </c:pt>
                <c:pt idx="61">
                  <c:v>0.00613350048399752</c:v>
                </c:pt>
                <c:pt idx="62">
                  <c:v>-6.89139569254712</c:v>
                </c:pt>
                <c:pt idx="63">
                  <c:v>-6.337354199075833</c:v>
                </c:pt>
                <c:pt idx="64">
                  <c:v>-5.62965659589159</c:v>
                </c:pt>
                <c:pt idx="65">
                  <c:v>-4.994794628130961</c:v>
                </c:pt>
                <c:pt idx="66">
                  <c:v>-4.431326318497127</c:v>
                </c:pt>
                <c:pt idx="67">
                  <c:v>-3.931417003015071</c:v>
                </c:pt>
                <c:pt idx="68">
                  <c:v>-3.487903532543186</c:v>
                </c:pt>
                <c:pt idx="69">
                  <c:v>-3.094423973908178</c:v>
                </c:pt>
                <c:pt idx="70">
                  <c:v>-2.74533387755325</c:v>
                </c:pt>
                <c:pt idx="71">
                  <c:v>-2.435625551886048</c:v>
                </c:pt>
                <c:pt idx="72">
                  <c:v>-2.160856235922239</c:v>
                </c:pt>
                <c:pt idx="73">
                  <c:v>-1.917084368206076</c:v>
                </c:pt>
                <c:pt idx="74">
                  <c:v>-1.700813045182315</c:v>
                </c:pt>
                <c:pt idx="75">
                  <c:v>-1.508939858170798</c:v>
                </c:pt>
                <c:pt idx="76">
                  <c:v>-1.338712389363422</c:v>
                </c:pt>
                <c:pt idx="77">
                  <c:v>-1.18768872843458</c:v>
                </c:pt>
                <c:pt idx="78">
                  <c:v>-1.05370244337643</c:v>
                </c:pt>
                <c:pt idx="79">
                  <c:v>-0.934831503066363</c:v>
                </c:pt>
                <c:pt idx="80">
                  <c:v>-0.8293707057611</c:v>
                </c:pt>
                <c:pt idx="81">
                  <c:v>-0.735807218004972</c:v>
                </c:pt>
                <c:pt idx="82">
                  <c:v>-0.65279887305806</c:v>
                </c:pt>
                <c:pt idx="83">
                  <c:v>-0.579154917535746</c:v>
                </c:pt>
                <c:pt idx="84">
                  <c:v>-0.513818930070368</c:v>
                </c:pt>
                <c:pt idx="85">
                  <c:v>-0.455853666963581</c:v>
                </c:pt>
                <c:pt idx="86">
                  <c:v>-0.404427617440417</c:v>
                </c:pt>
                <c:pt idx="87">
                  <c:v>-0.358803075640495</c:v>
                </c:pt>
                <c:pt idx="88">
                  <c:v>-0.318325558239223</c:v>
                </c:pt>
                <c:pt idx="89">
                  <c:v>-0.282414415894923</c:v>
                </c:pt>
                <c:pt idx="90">
                  <c:v>-0.250554503843304</c:v>
                </c:pt>
                <c:pt idx="91">
                  <c:v>-0.222288792154014</c:v>
                </c:pt>
                <c:pt idx="92">
                  <c:v>-0.197211809643594</c:v>
                </c:pt>
                <c:pt idx="93">
                  <c:v>-0.174963827397804</c:v>
                </c:pt>
                <c:pt idx="94">
                  <c:v>-0.155225698466091</c:v>
                </c:pt>
                <c:pt idx="95">
                  <c:v>-0.137714279703668</c:v>
                </c:pt>
                <c:pt idx="96">
                  <c:v>-0.122178370087625</c:v>
                </c:pt>
                <c:pt idx="97">
                  <c:v>-0.108395107242253</c:v>
                </c:pt>
                <c:pt idx="98">
                  <c:v>-0.0961667704818203</c:v>
                </c:pt>
                <c:pt idx="99">
                  <c:v>-0.0853179445104897</c:v>
                </c:pt>
                <c:pt idx="100">
                  <c:v>-0.0756930030926957</c:v>
                </c:pt>
                <c:pt idx="101">
                  <c:v>-0.0671538765972781</c:v>
                </c:pt>
              </c:numCache>
            </c:numRef>
          </c:val>
          <c:smooth val="0"/>
        </c:ser>
        <c:ser>
          <c:idx val="2"/>
          <c:order val="1"/>
          <c:tx>
            <c:v>x1(k)</c:v>
          </c:tx>
          <c:val>
            <c:numRef>
              <c:f>'Z-Regler'!$F$14:$F$115</c:f>
              <c:numCache>
                <c:formatCode>General</c:formatCode>
                <c:ptCount val="102"/>
                <c:pt idx="0">
                  <c:v>0.0</c:v>
                </c:pt>
                <c:pt idx="1">
                  <c:v>0.0</c:v>
                </c:pt>
                <c:pt idx="2" formatCode="0.00">
                  <c:v>6.896837256731212</c:v>
                </c:pt>
                <c:pt idx="3" formatCode="0.00">
                  <c:v>6.342181886111428</c:v>
                </c:pt>
                <c:pt idx="4" formatCode="0.00">
                  <c:v>5.633939658872235</c:v>
                </c:pt>
                <c:pt idx="5" formatCode="0.00">
                  <c:v>4.998594507526828</c:v>
                </c:pt>
                <c:pt idx="6" formatCode="0.00">
                  <c:v>4.434697523517548</c:v>
                </c:pt>
                <c:pt idx="7" formatCode="0.00">
                  <c:v>3.93440789354225</c:v>
                </c:pt>
                <c:pt idx="8" formatCode="0.00">
                  <c:v>3.490557012854068</c:v>
                </c:pt>
                <c:pt idx="9" formatCode="0.00">
                  <c:v>3.096778108135514</c:v>
                </c:pt>
                <c:pt idx="10" formatCode="0.00">
                  <c:v>2.747422435714997</c:v>
                </c:pt>
                <c:pt idx="11" formatCode="0.00">
                  <c:v>2.437478494315711</c:v>
                </c:pt>
                <c:pt idx="12" formatCode="0.00">
                  <c:v>2.162500143049448</c:v>
                </c:pt>
                <c:pt idx="13" formatCode="0.00">
                  <c:v>1.918542821852344</c:v>
                </c:pt>
                <c:pt idx="14" formatCode="0.00">
                  <c:v>1.70210696684194</c:v>
                </c:pt>
                <c:pt idx="15" formatCode="0.00">
                  <c:v>1.510087809129359</c:v>
                </c:pt>
                <c:pt idx="16" formatCode="0.00">
                  <c:v>1.339730836959124</c:v>
                </c:pt>
                <c:pt idx="17" formatCode="0.00">
                  <c:v>1.188592282281939</c:v>
                </c:pt>
                <c:pt idx="18" formatCode="0.00">
                  <c:v>1.054504064940987</c:v>
                </c:pt>
                <c:pt idx="19" formatCode="0.00">
                  <c:v>0.935542691596663</c:v>
                </c:pt>
                <c:pt idx="20" formatCode="0.00">
                  <c:v>0.83000166324528</c:v>
                </c:pt>
                <c:pt idx="21" formatCode="0.00">
                  <c:v>0.73636699551808</c:v>
                </c:pt>
                <c:pt idx="22" formatCode="0.00">
                  <c:v>0.653295500599596</c:v>
                </c:pt>
                <c:pt idx="23" formatCode="0.00">
                  <c:v>0.579595519219871</c:v>
                </c:pt>
                <c:pt idx="24" formatCode="0.00">
                  <c:v>0.514209826321218</c:v>
                </c:pt>
                <c:pt idx="25" formatCode="0.00">
                  <c:v>0.456200465181636</c:v>
                </c:pt>
                <c:pt idx="26" formatCode="0.00">
                  <c:v>0.404735292440587</c:v>
                </c:pt>
                <c:pt idx="27" formatCode="0.00">
                  <c:v>0.359076041015753</c:v>
                </c:pt>
                <c:pt idx="28" formatCode="0.00">
                  <c:v>0.318567729673523</c:v>
                </c:pt>
                <c:pt idx="29" formatCode="0.00">
                  <c:v>0.28262926733363</c:v>
                </c:pt>
                <c:pt idx="30" formatCode="0.00">
                  <c:v>0.250745117326878</c:v>
                </c:pt>
                <c:pt idx="31" formatCode="0.00">
                  <c:v>0.222457902029839</c:v>
                </c:pt>
                <c:pt idx="32" formatCode="0.00">
                  <c:v>0.197361841790139</c:v>
                </c:pt>
                <c:pt idx="33" formatCode="0.00">
                  <c:v>0.175096934023819</c:v>
                </c:pt>
                <c:pt idx="34" formatCode="0.00">
                  <c:v>0.155343788984004</c:v>
                </c:pt>
                <c:pt idx="35" formatCode="0.00">
                  <c:v>0.137819048120078</c:v>
                </c:pt>
                <c:pt idx="36" formatCode="0.00">
                  <c:v>0.122271319303793</c:v>
                </c:pt>
                <c:pt idx="37" formatCode="0.00">
                  <c:v>0.108477570613203</c:v>
                </c:pt>
                <c:pt idx="38" formatCode="0.00">
                  <c:v>0.0962399309432933</c:v>
                </c:pt>
                <c:pt idx="39" formatCode="0.00">
                  <c:v>0.0853828515481391</c:v>
                </c:pt>
                <c:pt idx="40" formatCode="0.00">
                  <c:v>0.0757505877969418</c:v>
                </c:pt>
                <c:pt idx="41" formatCode="0.00">
                  <c:v>0.0672049650197855</c:v>
                </c:pt>
                <c:pt idx="42" formatCode="0.00">
                  <c:v>0.0596233963941981</c:v>
                </c:pt>
                <c:pt idx="43" formatCode="0.00">
                  <c:v>0.0528971244391401</c:v>
                </c:pt>
                <c:pt idx="44" formatCode="0.00">
                  <c:v>0.0469296608906737</c:v>
                </c:pt>
                <c:pt idx="45" formatCode="0.00">
                  <c:v>0.0416354025793501</c:v>
                </c:pt>
                <c:pt idx="46" formatCode="0.00">
                  <c:v>0.0369384034541161</c:v>
                </c:pt>
                <c:pt idx="47" formatCode="0.00">
                  <c:v>0.0327712851374183</c:v>
                </c:pt>
                <c:pt idx="48" formatCode="0.00">
                  <c:v>0.0290742703834504</c:v>
                </c:pt>
                <c:pt idx="49" formatCode="0.00">
                  <c:v>0.0257943255745198</c:v>
                </c:pt>
                <c:pt idx="50" formatCode="0.00">
                  <c:v>0.022884399954643</c:v>
                </c:pt>
                <c:pt idx="51" formatCode="0.00">
                  <c:v>0.0203027506872055</c:v>
                </c:pt>
                <c:pt idx="52" formatCode="0.00">
                  <c:v>0.0180123440546305</c:v>
                </c:pt>
                <c:pt idx="53" formatCode="0.00">
                  <c:v>0.0159803242102986</c:v>
                </c:pt>
                <c:pt idx="54" formatCode="0.00">
                  <c:v>0.0141775418619432</c:v>
                </c:pt>
                <c:pt idx="55" formatCode="0.00">
                  <c:v>0.0125781361255254</c:v>
                </c:pt>
                <c:pt idx="56" formatCode="0.00">
                  <c:v>0.0111591635512573</c:v>
                </c:pt>
                <c:pt idx="57" formatCode="0.00">
                  <c:v>0.00990026900019197</c:v>
                </c:pt>
                <c:pt idx="58" formatCode="0.00">
                  <c:v>0.00878339365006482</c:v>
                </c:pt>
                <c:pt idx="59" formatCode="0.00">
                  <c:v>0.00779251594179067</c:v>
                </c:pt>
                <c:pt idx="60" formatCode="0.00">
                  <c:v>0.00691342175044125</c:v>
                </c:pt>
                <c:pt idx="61" formatCode="0.00">
                  <c:v>0.0061335004838631</c:v>
                </c:pt>
                <c:pt idx="62" formatCode="0.00">
                  <c:v>-6.891395692547292</c:v>
                </c:pt>
                <c:pt idx="63" formatCode="0.00">
                  <c:v>-6.337354199076</c:v>
                </c:pt>
                <c:pt idx="64" formatCode="0.00">
                  <c:v>-5.629656595891759</c:v>
                </c:pt>
                <c:pt idx="65" formatCode="0.00">
                  <c:v>-4.994794628131147</c:v>
                </c:pt>
                <c:pt idx="66" formatCode="0.00">
                  <c:v>-4.43132631849732</c:v>
                </c:pt>
                <c:pt idx="67" formatCode="0.00">
                  <c:v>-3.931417003015218</c:v>
                </c:pt>
                <c:pt idx="68" formatCode="0.00">
                  <c:v>-3.487903532543314</c:v>
                </c:pt>
                <c:pt idx="69" formatCode="0.00">
                  <c:v>-3.094423973908294</c:v>
                </c:pt>
                <c:pt idx="70" formatCode="0.00">
                  <c:v>-2.745333877553358</c:v>
                </c:pt>
                <c:pt idx="71" formatCode="0.00">
                  <c:v>-2.435625551886128</c:v>
                </c:pt>
                <c:pt idx="72" formatCode="0.00">
                  <c:v>-2.160856235922317</c:v>
                </c:pt>
                <c:pt idx="73" formatCode="0.00">
                  <c:v>-1.91708436820614</c:v>
                </c:pt>
                <c:pt idx="74" formatCode="0.00">
                  <c:v>-1.700813045182362</c:v>
                </c:pt>
                <c:pt idx="75" formatCode="0.00">
                  <c:v>-1.508939858170836</c:v>
                </c:pt>
                <c:pt idx="76" formatCode="0.00">
                  <c:v>-1.33871238936346</c:v>
                </c:pt>
                <c:pt idx="77" formatCode="0.00">
                  <c:v>-1.187688728434612</c:v>
                </c:pt>
                <c:pt idx="78" formatCode="0.00">
                  <c:v>-1.053702443376467</c:v>
                </c:pt>
                <c:pt idx="79" formatCode="0.00">
                  <c:v>-0.934831503066389</c:v>
                </c:pt>
                <c:pt idx="80" formatCode="0.00">
                  <c:v>-0.829370705761127</c:v>
                </c:pt>
                <c:pt idx="81" formatCode="0.00">
                  <c:v>-0.735807218004997</c:v>
                </c:pt>
                <c:pt idx="82" formatCode="0.00">
                  <c:v>-0.652798873058086</c:v>
                </c:pt>
                <c:pt idx="83" formatCode="0.00">
                  <c:v>-0.579154917535768</c:v>
                </c:pt>
                <c:pt idx="84" formatCode="0.00">
                  <c:v>-0.513818930070391</c:v>
                </c:pt>
                <c:pt idx="85" formatCode="0.00">
                  <c:v>-0.4558536669636</c:v>
                </c:pt>
                <c:pt idx="86" formatCode="0.00">
                  <c:v>-0.404427617440433</c:v>
                </c:pt>
                <c:pt idx="87" formatCode="0.00">
                  <c:v>-0.358803075640511</c:v>
                </c:pt>
                <c:pt idx="88" formatCode="0.00">
                  <c:v>-0.318325558239238</c:v>
                </c:pt>
                <c:pt idx="89" formatCode="0.00">
                  <c:v>-0.282414415894938</c:v>
                </c:pt>
                <c:pt idx="90" formatCode="0.00">
                  <c:v>-0.250554503843317</c:v>
                </c:pt>
                <c:pt idx="91" formatCode="0.00">
                  <c:v>-0.222288792154026</c:v>
                </c:pt>
                <c:pt idx="92" formatCode="0.00">
                  <c:v>-0.197211809643604</c:v>
                </c:pt>
                <c:pt idx="93" formatCode="0.00">
                  <c:v>-0.174963827397812</c:v>
                </c:pt>
                <c:pt idx="94" formatCode="0.00">
                  <c:v>-0.155225698466097</c:v>
                </c:pt>
                <c:pt idx="95" formatCode="0.00">
                  <c:v>-0.137714279703674</c:v>
                </c:pt>
                <c:pt idx="96" formatCode="0.00">
                  <c:v>-0.122178370087631</c:v>
                </c:pt>
                <c:pt idx="97" formatCode="0.00">
                  <c:v>-0.108395107242258</c:v>
                </c:pt>
                <c:pt idx="98" formatCode="0.00">
                  <c:v>-0.0961667704818244</c:v>
                </c:pt>
                <c:pt idx="99" formatCode="0.00">
                  <c:v>-0.085317944510493</c:v>
                </c:pt>
                <c:pt idx="100" formatCode="0.00">
                  <c:v>-0.0756930030926986</c:v>
                </c:pt>
                <c:pt idx="101" formatCode="0.00">
                  <c:v>-0.0671538765972805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272312"/>
        <c:axId val="2071271416"/>
      </c:lineChart>
      <c:catAx>
        <c:axId val="20712723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271416"/>
        <c:crosses val="autoZero"/>
        <c:auto val="1"/>
        <c:lblAlgn val="ctr"/>
        <c:lblOffset val="100"/>
        <c:noMultiLvlLbl val="0"/>
      </c:catAx>
      <c:valAx>
        <c:axId val="207127141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1272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7212478140585"/>
          <c:y val="0.0586585010207057"/>
          <c:w val="0.0851020106035512"/>
          <c:h val="0.253053368328959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'Aufgabe 6.1'!$D$11</c:f>
              <c:strCache>
                <c:ptCount val="1"/>
                <c:pt idx="0">
                  <c:v>x3(k)</c:v>
                </c:pt>
              </c:strCache>
            </c:strRef>
          </c:tx>
          <c:val>
            <c:numRef>
              <c:f>'Aufgabe 6.1'!$D$13:$D$141</c:f>
              <c:numCache>
                <c:formatCode>0.000</c:formatCode>
                <c:ptCount val="129"/>
                <c:pt idx="0">
                  <c:v>0.0</c:v>
                </c:pt>
                <c:pt idx="1">
                  <c:v>-7.59595354935178E-5</c:v>
                </c:pt>
                <c:pt idx="2">
                  <c:v>-0.000298036606511583</c:v>
                </c:pt>
                <c:pt idx="3">
                  <c:v>-0.000727458446504312</c:v>
                </c:pt>
                <c:pt idx="4">
                  <c:v>-0.00141379523181635</c:v>
                </c:pt>
                <c:pt idx="5">
                  <c:v>-0.00239272513921085</c:v>
                </c:pt>
                <c:pt idx="6">
                  <c:v>-0.00368436071545287</c:v>
                </c:pt>
                <c:pt idx="7">
                  <c:v>-0.00529218624817432</c:v>
                </c:pt>
                <c:pt idx="8">
                  <c:v>-0.00720263440905166</c:v>
                </c:pt>
                <c:pt idx="9">
                  <c:v>-0.00938530858445601</c:v>
                </c:pt>
                <c:pt idx="10">
                  <c:v>-0.0117938357164071</c:v>
                </c:pt>
                <c:pt idx="11">
                  <c:v>-0.014367313823092</c:v>
                </c:pt>
                <c:pt idx="12">
                  <c:v>-0.0170322992824675</c:v>
                </c:pt>
                <c:pt idx="13">
                  <c:v>-0.0197052620093194</c:v>
                </c:pt>
                <c:pt idx="14">
                  <c:v>-0.0222954223203653</c:v>
                </c:pt>
                <c:pt idx="15">
                  <c:v>-0.0247078719554867</c:v>
                </c:pt>
                <c:pt idx="16">
                  <c:v>-0.0268468736954176</c:v>
                </c:pt>
                <c:pt idx="17">
                  <c:v>-0.0286192294679149</c:v>
                </c:pt>
                <c:pt idx="18">
                  <c:v>-0.0299376058348093</c:v>
                </c:pt>
                <c:pt idx="19">
                  <c:v>-0.0307237082597907</c:v>
                </c:pt>
                <c:pt idx="20">
                  <c:v>-0.0309112014229865</c:v>
                </c:pt>
                <c:pt idx="21">
                  <c:v>-0.0304482818254506</c:v>
                </c:pt>
                <c:pt idx="22">
                  <c:v>-0.0292998206771807</c:v>
                </c:pt>
                <c:pt idx="23">
                  <c:v>-0.027449009171771</c:v>
                </c:pt>
                <c:pt idx="24">
                  <c:v>-0.0248984542422681</c:v>
                </c:pt>
                <c:pt idx="25">
                  <c:v>-0.0216706902426814</c:v>
                </c:pt>
                <c:pt idx="26">
                  <c:v>-0.0178840496902736</c:v>
                </c:pt>
                <c:pt idx="27">
                  <c:v>-0.0136702149215669</c:v>
                </c:pt>
                <c:pt idx="28">
                  <c:v>-0.00916982317853109</c:v>
                </c:pt>
                <c:pt idx="29">
                  <c:v>-0.00452793351320755</c:v>
                </c:pt>
                <c:pt idx="30">
                  <c:v>0.00011050293538521</c:v>
                </c:pt>
                <c:pt idx="31">
                  <c:v>0.00460503212991803</c:v>
                </c:pt>
                <c:pt idx="32">
                  <c:v>0.00882381704189173</c:v>
                </c:pt>
                <c:pt idx="33">
                  <c:v>0.0126473715916271</c:v>
                </c:pt>
                <c:pt idx="34">
                  <c:v>0.0159718071673818</c:v>
                </c:pt>
                <c:pt idx="35">
                  <c:v>0.0187115081145565</c:v>
                </c:pt>
                <c:pt idx="36">
                  <c:v>0.020801172423497</c:v>
                </c:pt>
                <c:pt idx="37">
                  <c:v>0.0221971750132728</c:v>
                </c:pt>
                <c:pt idx="38">
                  <c:v>0.0228782328271985</c:v>
                </c:pt>
                <c:pt idx="39">
                  <c:v>0.0228453727429084</c:v>
                </c:pt>
                <c:pt idx="40">
                  <c:v>0.0221212243962359</c:v>
                </c:pt>
                <c:pt idx="41">
                  <c:v>0.0207486798056373</c:v>
                </c:pt>
                <c:pt idx="42">
                  <c:v>0.0187889796024617</c:v>
                </c:pt>
                <c:pt idx="43">
                  <c:v>0.0163193012356714</c:v>
                </c:pt>
                <c:pt idx="44">
                  <c:v>0.0134299373273998</c:v>
                </c:pt>
                <c:pt idx="45">
                  <c:v>0.0102211621033971</c:v>
                </c:pt>
                <c:pt idx="46">
                  <c:v>0.00679989030729154</c:v>
                </c:pt>
                <c:pt idx="47">
                  <c:v>0.00327623613205911</c:v>
                </c:pt>
                <c:pt idx="48">
                  <c:v>-0.000239920526713518</c:v>
                </c:pt>
                <c:pt idx="49">
                  <c:v>-0.00364225666471384</c:v>
                </c:pt>
                <c:pt idx="50">
                  <c:v>-0.006831120293541</c:v>
                </c:pt>
                <c:pt idx="51">
                  <c:v>-0.00971634804593277</c:v>
                </c:pt>
                <c:pt idx="52">
                  <c:v>-0.012219709865042</c:v>
                </c:pt>
                <c:pt idx="53">
                  <c:v>-0.0142769179967527</c:v>
                </c:pt>
                <c:pt idx="54">
                  <c:v>-0.015839152609419</c:v>
                </c:pt>
                <c:pt idx="55">
                  <c:v>-0.0168740724577797</c:v>
                </c:pt>
                <c:pt idx="56">
                  <c:v>-0.0173662955695907</c:v>
                </c:pt>
                <c:pt idx="57">
                  <c:v>-0.017317351448632</c:v>
                </c:pt>
                <c:pt idx="58">
                  <c:v>-0.0167451222571377</c:v>
                </c:pt>
                <c:pt idx="59">
                  <c:v>-0.0156828053969876</c:v>
                </c:pt>
                <c:pt idx="60">
                  <c:v>-0.0141774434296605</c:v>
                </c:pt>
                <c:pt idx="61">
                  <c:v>-0.0122880789937779</c:v>
                </c:pt>
                <c:pt idx="62">
                  <c:v>-0.0100836019955348</c:v>
                </c:pt>
                <c:pt idx="63">
                  <c:v>-0.00764036363373748</c:v>
                </c:pt>
                <c:pt idx="64">
                  <c:v>-0.00503963662733587</c:v>
                </c:pt>
                <c:pt idx="65">
                  <c:v>-0.00236500326878474</c:v>
                </c:pt>
                <c:pt idx="66">
                  <c:v>0.000300247359773471</c:v>
                </c:pt>
                <c:pt idx="67">
                  <c:v>0.00287563441292769</c:v>
                </c:pt>
                <c:pt idx="68">
                  <c:v>0.00528583899741276</c:v>
                </c:pt>
                <c:pt idx="69">
                  <c:v>0.00746283014002214</c:v>
                </c:pt>
                <c:pt idx="70">
                  <c:v>0.00934770548618814</c:v>
                </c:pt>
                <c:pt idx="71">
                  <c:v>0.0108921995950101</c:v>
                </c:pt>
                <c:pt idx="72">
                  <c:v>0.0120598241976553</c:v>
                </c:pt>
                <c:pt idx="73">
                  <c:v>0.0128266170184732</c:v>
                </c:pt>
                <c:pt idx="74">
                  <c:v>0.0131814883290095</c:v>
                </c:pt>
                <c:pt idx="75">
                  <c:v>0.013126166923196</c:v>
                </c:pt>
                <c:pt idx="76">
                  <c:v>0.012674759289583</c:v>
                </c:pt>
                <c:pt idx="77">
                  <c:v>0.0118529470603346</c:v>
                </c:pt>
                <c:pt idx="78">
                  <c:v>0.0106968580180231</c:v>
                </c:pt>
                <c:pt idx="79">
                  <c:v>0.0092516547643263</c:v>
                </c:pt>
                <c:pt idx="80">
                  <c:v>0.00756989237394379</c:v>
                </c:pt>
                <c:pt idx="81">
                  <c:v>0.00570970180224124</c:v>
                </c:pt>
                <c:pt idx="82">
                  <c:v>0.00373285937506781</c:v>
                </c:pt>
                <c:pt idx="83">
                  <c:v>0.00170280431310971</c:v>
                </c:pt>
                <c:pt idx="84">
                  <c:v>-0.000317334059489349</c:v>
                </c:pt>
                <c:pt idx="85">
                  <c:v>-0.00226663993414634</c:v>
                </c:pt>
                <c:pt idx="86">
                  <c:v>-0.00408818987520322</c:v>
                </c:pt>
                <c:pt idx="87">
                  <c:v>-0.00573065679152495</c:v>
                </c:pt>
                <c:pt idx="88">
                  <c:v>-0.00714969571669981</c:v>
                </c:pt>
                <c:pt idx="89">
                  <c:v>-0.00830907601636332</c:v>
                </c:pt>
                <c:pt idx="90">
                  <c:v>-0.00918153339735935</c:v>
                </c:pt>
                <c:pt idx="91">
                  <c:v>-0.00974932439113249</c:v>
                </c:pt>
                <c:pt idx="92">
                  <c:v>-0.010004475524757</c:v>
                </c:pt>
                <c:pt idx="93">
                  <c:v>-0.00994872888085474</c:v>
                </c:pt>
                <c:pt idx="94">
                  <c:v>-0.0095931948964388</c:v>
                </c:pt>
                <c:pt idx="95">
                  <c:v>-0.00895773179347672</c:v>
                </c:pt>
                <c:pt idx="96">
                  <c:v>-0.008070078730196</c:v>
                </c:pt>
                <c:pt idx="97">
                  <c:v>-0.00696477640428149</c:v>
                </c:pt>
                <c:pt idx="98">
                  <c:v>-0.00568191425781041</c:v>
                </c:pt>
                <c:pt idx="99">
                  <c:v>-0.0042657475019048</c:v>
                </c:pt>
                <c:pt idx="100">
                  <c:v>-0.00276322981430224</c:v>
                </c:pt>
                <c:pt idx="101">
                  <c:v>-0.00122250872892091</c:v>
                </c:pt>
                <c:pt idx="102">
                  <c:v>0.000308569557779806</c:v>
                </c:pt>
                <c:pt idx="103">
                  <c:v>0.00178390094010232</c:v>
                </c:pt>
                <c:pt idx="104">
                  <c:v>0.00316046770659378</c:v>
                </c:pt>
                <c:pt idx="105">
                  <c:v>0.00439954857996145</c:v>
                </c:pt>
                <c:pt idx="106">
                  <c:v>0.00546776189413733</c:v>
                </c:pt>
                <c:pt idx="107">
                  <c:v>0.00633791535351583</c:v>
                </c:pt>
                <c:pt idx="108">
                  <c:v>0.00698964248523087</c:v>
                </c:pt>
                <c:pt idx="109">
                  <c:v>0.00740981296188694</c:v>
                </c:pt>
                <c:pt idx="110">
                  <c:v>0.00759271121313262</c:v>
                </c:pt>
                <c:pt idx="111">
                  <c:v>0.00753998493515472</c:v>
                </c:pt>
                <c:pt idx="112">
                  <c:v>0.00726037203120176</c:v>
                </c:pt>
                <c:pt idx="113">
                  <c:v>0.00676922097187762</c:v>
                </c:pt>
                <c:pt idx="114">
                  <c:v>0.00608782536974883</c:v>
                </c:pt>
                <c:pt idx="115">
                  <c:v>0.00524259856254065</c:v>
                </c:pt>
                <c:pt idx="116">
                  <c:v>0.00426411806577694</c:v>
                </c:pt>
                <c:pt idx="117">
                  <c:v>0.00318607279419464</c:v>
                </c:pt>
                <c:pt idx="118">
                  <c:v>0.002044147900715</c:v>
                </c:pt>
                <c:pt idx="119">
                  <c:v>0.00087488291610702</c:v>
                </c:pt>
                <c:pt idx="120">
                  <c:v>-0.000285461399758509</c:v>
                </c:pt>
                <c:pt idx="121">
                  <c:v>-0.00140199342121119</c:v>
                </c:pt>
                <c:pt idx="122">
                  <c:v>-0.00244220648985587</c:v>
                </c:pt>
                <c:pt idx="123">
                  <c:v>-0.00337689169309145</c:v>
                </c:pt>
                <c:pt idx="124">
                  <c:v>-0.00418092305098378</c:v>
                </c:pt>
                <c:pt idx="125">
                  <c:v>-0.00483389518436472</c:v>
                </c:pt>
                <c:pt idx="126">
                  <c:v>-0.0053205986111473</c:v>
                </c:pt>
                <c:pt idx="127">
                  <c:v>-0.00563132318829565</c:v>
                </c:pt>
                <c:pt idx="128">
                  <c:v>-0.00576198571194569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'Aufgabe 6.1'!$F$11</c:f>
              <c:strCache>
                <c:ptCount val="1"/>
                <c:pt idx="0">
                  <c:v>x1(k) [m]</c:v>
                </c:pt>
              </c:strCache>
            </c:strRef>
          </c:tx>
          <c:val>
            <c:numRef>
              <c:f>'Aufgabe 6.1'!$F$13:$F$141</c:f>
              <c:numCache>
                <c:formatCode>0.000</c:formatCode>
                <c:ptCount val="129"/>
                <c:pt idx="0">
                  <c:v>0.0</c:v>
                </c:pt>
                <c:pt idx="1">
                  <c:v>0.000615272237497494</c:v>
                </c:pt>
                <c:pt idx="2">
                  <c:v>0.00242928841984252</c:v>
                </c:pt>
                <c:pt idx="3">
                  <c:v>0.0059748085986353</c:v>
                </c:pt>
                <c:pt idx="4">
                  <c:v>0.0117170278631642</c:v>
                </c:pt>
                <c:pt idx="5">
                  <c:v>0.0200392646182738</c:v>
                </c:pt>
                <c:pt idx="6">
                  <c:v>0.031231582795709</c:v>
                </c:pt>
                <c:pt idx="7">
                  <c:v>0.0454826392497969</c:v>
                </c:pt>
                <c:pt idx="8">
                  <c:v>0.0628749401700372</c:v>
                </c:pt>
                <c:pt idx="9">
                  <c:v>0.0833835800649391</c:v>
                </c:pt>
                <c:pt idx="10">
                  <c:v>0.106878427183856</c:v>
                </c:pt>
                <c:pt idx="11">
                  <c:v>0.133129613482952</c:v>
                </c:pt>
                <c:pt idx="12">
                  <c:v>0.16181608853182</c:v>
                </c:pt>
                <c:pt idx="13">
                  <c:v>0.192536907921431</c:v>
                </c:pt>
                <c:pt idx="14">
                  <c:v>0.22482485021663</c:v>
                </c:pt>
                <c:pt idx="15">
                  <c:v>0.258161894299983</c:v>
                </c:pt>
                <c:pt idx="16">
                  <c:v>0.291996042591352</c:v>
                </c:pt>
                <c:pt idx="17">
                  <c:v>0.325758946090045</c:v>
                </c:pt>
                <c:pt idx="18">
                  <c:v>0.358883774927395</c:v>
                </c:pt>
                <c:pt idx="19">
                  <c:v>0.39082278305542</c:v>
                </c:pt>
                <c:pt idx="20">
                  <c:v>0.42106403723146</c:v>
                </c:pt>
                <c:pt idx="21">
                  <c:v>0.44914681750419</c:v>
                </c:pt>
                <c:pt idx="22">
                  <c:v>0.474675247438767</c:v>
                </c:pt>
                <c:pt idx="23">
                  <c:v>0.497329775433402</c:v>
                </c:pt>
                <c:pt idx="24">
                  <c:v>0.516876201459519</c:v>
                </c:pt>
                <c:pt idx="25">
                  <c:v>0.533172023949234</c:v>
                </c:pt>
                <c:pt idx="26">
                  <c:v>0.546785238985407</c:v>
                </c:pt>
                <c:pt idx="27">
                  <c:v>0.558347921783345</c:v>
                </c:pt>
                <c:pt idx="28">
                  <c:v>0.568535131104504</c:v>
                </c:pt>
                <c:pt idx="29">
                  <c:v>0.578043150398682</c:v>
                </c:pt>
                <c:pt idx="30">
                  <c:v>0.587567745133167</c:v>
                </c:pt>
                <c:pt idx="31">
                  <c:v>0.59778309468714</c:v>
                </c:pt>
                <c:pt idx="32">
                  <c:v>0.609322016797397</c:v>
                </c:pt>
                <c:pt idx="33">
                  <c:v>0.622758044646398</c:v>
                </c:pt>
                <c:pt idx="34">
                  <c:v>0.638589843570506</c:v>
                </c:pt>
                <c:pt idx="35">
                  <c:v>0.657228368711797</c:v>
                </c:pt>
                <c:pt idx="36">
                  <c:v>0.678987069716614</c:v>
                </c:pt>
                <c:pt idx="37">
                  <c:v>0.704075346973421</c:v>
                </c:pt>
                <c:pt idx="38">
                  <c:v>0.732595359154308</c:v>
                </c:pt>
                <c:pt idx="39">
                  <c:v>0.764542177246631</c:v>
                </c:pt>
                <c:pt idx="40">
                  <c:v>0.799807178998389</c:v>
                </c:pt>
                <c:pt idx="41">
                  <c:v>0.838184482720993</c:v>
                </c:pt>
                <c:pt idx="42">
                  <c:v>0.879380133383967</c:v>
                </c:pt>
                <c:pt idx="43">
                  <c:v>0.923023679232291</c:v>
                </c:pt>
                <c:pt idx="44">
                  <c:v>0.968681715679725</c:v>
                </c:pt>
                <c:pt idx="45">
                  <c:v>1.015872926442669</c:v>
                </c:pt>
                <c:pt idx="46">
                  <c:v>1.064084120751706</c:v>
                </c:pt>
                <c:pt idx="47">
                  <c:v>1.112786750480552</c:v>
                </c:pt>
                <c:pt idx="48">
                  <c:v>1.161453392130391</c:v>
                </c:pt>
                <c:pt idx="49">
                  <c:v>1.209573695280523</c:v>
                </c:pt>
                <c:pt idx="50">
                  <c:v>1.256669330386624</c:v>
                </c:pt>
                <c:pt idx="51">
                  <c:v>1.302307513285835</c:v>
                </c:pt>
                <c:pt idx="52">
                  <c:v>1.34611273970529</c:v>
                </c:pt>
                <c:pt idx="53">
                  <c:v>1.387776428425232</c:v>
                </c:pt>
                <c:pt idx="54">
                  <c:v>1.427064244253761</c:v>
                </c:pt>
                <c:pt idx="55">
                  <c:v>1.463820949213623</c:v>
                </c:pt>
                <c:pt idx="56">
                  <c:v>1.497972709838047</c:v>
                </c:pt>
                <c:pt idx="57">
                  <c:v>1.529526867745175</c:v>
                </c:pt>
                <c:pt idx="58">
                  <c:v>1.558569257313734</c:v>
                </c:pt>
                <c:pt idx="59">
                  <c:v>1.585259226072743</c:v>
                </c:pt>
                <c:pt idx="60">
                  <c:v>1.609822578317304</c:v>
                </c:pt>
                <c:pt idx="61">
                  <c:v>1.632542718712798</c:v>
                </c:pt>
                <c:pt idx="62">
                  <c:v>1.653750318808962</c:v>
                </c:pt>
                <c:pt idx="63">
                  <c:v>1.673811864360065</c:v>
                </c:pt>
                <c:pt idx="64">
                  <c:v>1.693117464417068</c:v>
                </c:pt>
                <c:pt idx="65">
                  <c:v>1.712068313983754</c:v>
                </c:pt>
                <c:pt idx="66">
                  <c:v>1.731064200654405</c:v>
                </c:pt>
                <c:pt idx="67">
                  <c:v>1.750491432486995</c:v>
                </c:pt>
                <c:pt idx="68">
                  <c:v>1.770711540169197</c:v>
                </c:pt>
                <c:pt idx="69">
                  <c:v>1.792051072372403</c:v>
                </c:pt>
                <c:pt idx="70">
                  <c:v>1.814792760398536</c:v>
                </c:pt>
                <c:pt idx="71">
                  <c:v>1.839168278363922</c:v>
                </c:pt>
                <c:pt idx="72">
                  <c:v>1.865352769958955</c:v>
                </c:pt>
                <c:pt idx="73">
                  <c:v>1.89346125410676</c:v>
                </c:pt>
                <c:pt idx="74">
                  <c:v>1.923546961503916</c:v>
                </c:pt>
                <c:pt idx="75">
                  <c:v>1.955601593939552</c:v>
                </c:pt>
                <c:pt idx="76">
                  <c:v>1.989557440268625</c:v>
                </c:pt>
                <c:pt idx="77">
                  <c:v>2.025291228656747</c:v>
                </c:pt>
                <c:pt idx="78">
                  <c:v>2.062629545747573</c:v>
                </c:pt>
                <c:pt idx="79">
                  <c:v>2.101355611053048</c:v>
                </c:pt>
                <c:pt idx="80">
                  <c:v>2.141217160214615</c:v>
                </c:pt>
                <c:pt idx="81">
                  <c:v>2.181935164646517</c:v>
                </c:pt>
                <c:pt idx="82">
                  <c:v>2.22321309798468</c:v>
                </c:pt>
                <c:pt idx="83">
                  <c:v>2.264746451969809</c:v>
                </c:pt>
                <c:pt idx="84">
                  <c:v>2.306232205846014</c:v>
                </c:pt>
                <c:pt idx="85">
                  <c:v>2.347377963732098</c:v>
                </c:pt>
                <c:pt idx="86">
                  <c:v>2.387910493136902</c:v>
                </c:pt>
                <c:pt idx="87">
                  <c:v>2.427583424022976</c:v>
                </c:pt>
                <c:pt idx="88">
                  <c:v>2.466183900551546</c:v>
                </c:pt>
                <c:pt idx="89">
                  <c:v>2.503538015677662</c:v>
                </c:pt>
                <c:pt idx="90">
                  <c:v>2.539514900794173</c:v>
                </c:pt>
                <c:pt idx="91">
                  <c:v>2.574029387252014</c:v>
                </c:pt>
                <c:pt idx="92">
                  <c:v>2.607043202381142</c:v>
                </c:pt>
                <c:pt idx="93">
                  <c:v>2.638564708178141</c:v>
                </c:pt>
                <c:pt idx="94">
                  <c:v>2.668647234740675</c:v>
                </c:pt>
                <c:pt idx="95">
                  <c:v>2.697386101534187</c:v>
                </c:pt>
                <c:pt idx="96">
                  <c:v>2.72491445651817</c:v>
                </c:pt>
                <c:pt idx="97">
                  <c:v>2.751398095041511</c:v>
                </c:pt>
                <c:pt idx="98">
                  <c:v>2.77702944642618</c:v>
                </c:pt>
                <c:pt idx="99">
                  <c:v>2.802020935685563</c:v>
                </c:pt>
                <c:pt idx="100">
                  <c:v>2.826597940472801</c:v>
                </c:pt>
                <c:pt idx="101">
                  <c:v>2.850991568950701</c:v>
                </c:pt>
                <c:pt idx="102">
                  <c:v>2.875431482862268</c:v>
                </c:pt>
                <c:pt idx="103">
                  <c:v>2.90013898191485</c:v>
                </c:pt>
                <c:pt idx="104">
                  <c:v>2.925320551123422</c:v>
                </c:pt>
                <c:pt idx="105">
                  <c:v>2.951162052618987</c:v>
                </c:pt>
                <c:pt idx="106">
                  <c:v>2.977823718398674</c:v>
                </c:pt>
                <c:pt idx="107">
                  <c:v>3.005436071481387</c:v>
                </c:pt>
                <c:pt idx="108">
                  <c:v>3.034096870936886</c:v>
                </c:pt>
                <c:pt idx="109">
                  <c:v>3.063869142336667</c:v>
                </c:pt>
                <c:pt idx="110">
                  <c:v>3.094780320418418</c:v>
                </c:pt>
                <c:pt idx="111">
                  <c:v>3.126822496240442</c:v>
                </c:pt>
                <c:pt idx="112">
                  <c:v>3.159953727867147</c:v>
                </c:pt>
                <c:pt idx="113">
                  <c:v>3.194100342639632</c:v>
                </c:pt>
                <c:pt idx="114">
                  <c:v>3.229160131217581</c:v>
                </c:pt>
                <c:pt idx="115">
                  <c:v>3.265006309579911</c:v>
                </c:pt>
                <c:pt idx="116">
                  <c:v>3.301492105652107</c:v>
                </c:pt>
                <c:pt idx="117">
                  <c:v>3.338455812643433</c:v>
                </c:pt>
                <c:pt idx="118">
                  <c:v>3.375726141819865</c:v>
                </c:pt>
                <c:pt idx="119">
                  <c:v>3.413127703433714</c:v>
                </c:pt>
                <c:pt idx="120">
                  <c:v>3.450486445837599</c:v>
                </c:pt>
                <c:pt idx="121">
                  <c:v>3.487634889228302</c:v>
                </c:pt>
                <c:pt idx="122">
                  <c:v>3.524417001645527</c:v>
                </c:pt>
                <c:pt idx="123">
                  <c:v>3.560692580308789</c:v>
                </c:pt>
                <c:pt idx="124">
                  <c:v>3.596341020514402</c:v>
                </c:pt>
                <c:pt idx="125">
                  <c:v>3.631264376442361</c:v>
                </c:pt>
                <c:pt idx="126">
                  <c:v>3.665389642578647</c:v>
                </c:pt>
                <c:pt idx="127">
                  <c:v>3.69867021023669</c:v>
                </c:pt>
                <c:pt idx="128">
                  <c:v>3.73108648003794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'Aufgabe 6.1'!$G$11</c:f>
              <c:strCache>
                <c:ptCount val="1"/>
                <c:pt idx="0">
                  <c:v>y(k) [m]</c:v>
                </c:pt>
              </c:strCache>
            </c:strRef>
          </c:tx>
          <c:val>
            <c:numRef>
              <c:f>'Aufgabe 6.1'!$G$13:$G$141</c:f>
              <c:numCache>
                <c:formatCode>0.000</c:formatCode>
                <c:ptCount val="129"/>
                <c:pt idx="0">
                  <c:v>0.0</c:v>
                </c:pt>
                <c:pt idx="1">
                  <c:v>7.59595354935167E-6</c:v>
                </c:pt>
                <c:pt idx="2">
                  <c:v>4.49955677498618E-5</c:v>
                </c:pt>
                <c:pt idx="3">
                  <c:v>0.000155141026600803</c:v>
                </c:pt>
                <c:pt idx="4">
                  <c:v>0.000406666008633379</c:v>
                </c:pt>
                <c:pt idx="5">
                  <c:v>0.00089746350458704</c:v>
                </c:pt>
                <c:pt idx="6">
                  <c:v>0.00175669707208599</c:v>
                </c:pt>
                <c:pt idx="7">
                  <c:v>0.00314514926440236</c:v>
                </c:pt>
                <c:pt idx="8">
                  <c:v>0.0052538648976239</c:v>
                </c:pt>
                <c:pt idx="9">
                  <c:v>0.00830111138929104</c:v>
                </c:pt>
                <c:pt idx="10">
                  <c:v>0.0125277414525989</c:v>
                </c:pt>
                <c:pt idx="11">
                  <c:v>0.0181911028982159</c:v>
                </c:pt>
                <c:pt idx="12">
                  <c:v>0.0255576942720797</c:v>
                </c:pt>
                <c:pt idx="13">
                  <c:v>0.0348948118468755</c:v>
                </c:pt>
                <c:pt idx="14">
                  <c:v>0.0464614716537077</c:v>
                </c:pt>
                <c:pt idx="15">
                  <c:v>0.0604989186560887</c:v>
                </c:pt>
                <c:pt idx="16">
                  <c:v>0.0772210530280114</c:v>
                </c:pt>
                <c:pt idx="17">
                  <c:v>0.0968051103467255</c:v>
                </c:pt>
                <c:pt idx="18">
                  <c:v>0.119382928248921</c:v>
                </c:pt>
                <c:pt idx="19">
                  <c:v>0.145033116977095</c:v>
                </c:pt>
                <c:pt idx="20">
                  <c:v>0.173774425847568</c:v>
                </c:pt>
                <c:pt idx="21">
                  <c:v>0.205560562900586</c:v>
                </c:pt>
                <c:pt idx="22">
                  <c:v>0.240276682021322</c:v>
                </c:pt>
                <c:pt idx="23">
                  <c:v>0.277737702059235</c:v>
                </c:pt>
                <c:pt idx="24">
                  <c:v>0.317688567521375</c:v>
                </c:pt>
                <c:pt idx="25">
                  <c:v>0.359806502007783</c:v>
                </c:pt>
                <c:pt idx="26">
                  <c:v>0.403712841463218</c:v>
                </c:pt>
                <c:pt idx="27">
                  <c:v>0.44898620241081</c:v>
                </c:pt>
                <c:pt idx="28">
                  <c:v>0.495176545676255</c:v>
                </c:pt>
                <c:pt idx="29">
                  <c:v>0.541819682293021</c:v>
                </c:pt>
                <c:pt idx="30">
                  <c:v>0.588451768616249</c:v>
                </c:pt>
                <c:pt idx="31">
                  <c:v>0.634623351726484</c:v>
                </c:pt>
                <c:pt idx="32">
                  <c:v>0.679912553132531</c:v>
                </c:pt>
                <c:pt idx="33">
                  <c:v>0.723937017379414</c:v>
                </c:pt>
                <c:pt idx="34">
                  <c:v>0.76636430090956</c:v>
                </c:pt>
                <c:pt idx="35">
                  <c:v>0.80692043362825</c:v>
                </c:pt>
                <c:pt idx="36">
                  <c:v>0.84539644910459</c:v>
                </c:pt>
                <c:pt idx="37">
                  <c:v>0.881652747079603</c:v>
                </c:pt>
                <c:pt idx="38">
                  <c:v>0.915621221771896</c:v>
                </c:pt>
                <c:pt idx="39">
                  <c:v>0.947305159189898</c:v>
                </c:pt>
                <c:pt idx="40">
                  <c:v>0.976776974168277</c:v>
                </c:pt>
                <c:pt idx="41">
                  <c:v>1.004173921166092</c:v>
                </c:pt>
                <c:pt idx="42">
                  <c:v>1.029691970203661</c:v>
                </c:pt>
                <c:pt idx="43">
                  <c:v>1.053578089117662</c:v>
                </c:pt>
                <c:pt idx="44">
                  <c:v>1.076121214298924</c:v>
                </c:pt>
                <c:pt idx="45">
                  <c:v>1.097642223269846</c:v>
                </c:pt>
                <c:pt idx="46">
                  <c:v>1.118483243210038</c:v>
                </c:pt>
                <c:pt idx="47">
                  <c:v>1.138996639537025</c:v>
                </c:pt>
                <c:pt idx="48">
                  <c:v>1.159534027916683</c:v>
                </c:pt>
                <c:pt idx="49">
                  <c:v>1.180435641962813</c:v>
                </c:pt>
                <c:pt idx="50">
                  <c:v>1.202020368038296</c:v>
                </c:pt>
                <c:pt idx="51">
                  <c:v>1.224576728918373</c:v>
                </c:pt>
                <c:pt idx="52">
                  <c:v>1.248355060784954</c:v>
                </c:pt>
                <c:pt idx="53">
                  <c:v>1.273561084451211</c:v>
                </c:pt>
                <c:pt idx="54">
                  <c:v>1.30035102337841</c:v>
                </c:pt>
                <c:pt idx="55">
                  <c:v>1.328828369551386</c:v>
                </c:pt>
                <c:pt idx="56">
                  <c:v>1.359042345281321</c:v>
                </c:pt>
                <c:pt idx="57">
                  <c:v>1.390988056156119</c:v>
                </c:pt>
                <c:pt idx="58">
                  <c:v>1.424608279256632</c:v>
                </c:pt>
                <c:pt idx="59">
                  <c:v>1.459796782896843</c:v>
                </c:pt>
                <c:pt idx="60">
                  <c:v>1.49640303088002</c:v>
                </c:pt>
                <c:pt idx="61">
                  <c:v>1.534238086762575</c:v>
                </c:pt>
                <c:pt idx="62">
                  <c:v>1.573081502844683</c:v>
                </c:pt>
                <c:pt idx="63">
                  <c:v>1.612688955290165</c:v>
                </c:pt>
                <c:pt idx="64">
                  <c:v>1.652800371398381</c:v>
                </c:pt>
                <c:pt idx="65">
                  <c:v>1.693148287833475</c:v>
                </c:pt>
                <c:pt idx="66">
                  <c:v>1.733466179532592</c:v>
                </c:pt>
                <c:pt idx="67">
                  <c:v>1.773496507790416</c:v>
                </c:pt>
                <c:pt idx="68">
                  <c:v>1.812998252148499</c:v>
                </c:pt>
                <c:pt idx="69">
                  <c:v>1.85175371349258</c:v>
                </c:pt>
                <c:pt idx="70">
                  <c:v>1.889574404288042</c:v>
                </c:pt>
                <c:pt idx="71">
                  <c:v>1.926305875124003</c:v>
                </c:pt>
                <c:pt idx="72">
                  <c:v>1.961831363540198</c:v>
                </c:pt>
                <c:pt idx="73">
                  <c:v>1.996074190254546</c:v>
                </c:pt>
                <c:pt idx="74">
                  <c:v>2.028998868135992</c:v>
                </c:pt>
                <c:pt idx="75">
                  <c:v>2.06061092932512</c:v>
                </c:pt>
                <c:pt idx="76">
                  <c:v>2.090955514585289</c:v>
                </c:pt>
                <c:pt idx="77">
                  <c:v>2.120114805139424</c:v>
                </c:pt>
                <c:pt idx="78">
                  <c:v>2.148204409891758</c:v>
                </c:pt>
                <c:pt idx="79">
                  <c:v>2.175368849167659</c:v>
                </c:pt>
                <c:pt idx="80">
                  <c:v>2.201776299206165</c:v>
                </c:pt>
                <c:pt idx="81">
                  <c:v>2.227612779064447</c:v>
                </c:pt>
                <c:pt idx="82">
                  <c:v>2.253075972985222</c:v>
                </c:pt>
                <c:pt idx="83">
                  <c:v>2.278368886474686</c:v>
                </c:pt>
                <c:pt idx="84">
                  <c:v>2.3036935333701</c:v>
                </c:pt>
                <c:pt idx="85">
                  <c:v>2.329244844258928</c:v>
                </c:pt>
                <c:pt idx="86">
                  <c:v>2.355204974135276</c:v>
                </c:pt>
                <c:pt idx="87">
                  <c:v>2.381738169690777</c:v>
                </c:pt>
                <c:pt idx="88">
                  <c:v>2.408986334817948</c:v>
                </c:pt>
                <c:pt idx="89">
                  <c:v>2.437065407546755</c:v>
                </c:pt>
                <c:pt idx="90">
                  <c:v>2.466062633615298</c:v>
                </c:pt>
                <c:pt idx="91">
                  <c:v>2.496034792122954</c:v>
                </c:pt>
                <c:pt idx="92">
                  <c:v>2.527007398183086</c:v>
                </c:pt>
                <c:pt idx="93">
                  <c:v>2.558974877131303</c:v>
                </c:pt>
                <c:pt idx="94">
                  <c:v>2.591901675569165</c:v>
                </c:pt>
                <c:pt idx="95">
                  <c:v>2.625724247186373</c:v>
                </c:pt>
                <c:pt idx="96">
                  <c:v>2.660353826676602</c:v>
                </c:pt>
                <c:pt idx="97">
                  <c:v>2.695679883807259</c:v>
                </c:pt>
                <c:pt idx="98">
                  <c:v>2.731574132363697</c:v>
                </c:pt>
                <c:pt idx="99">
                  <c:v>2.767894955670325</c:v>
                </c:pt>
                <c:pt idx="100">
                  <c:v>2.804492101958383</c:v>
                </c:pt>
                <c:pt idx="101">
                  <c:v>2.841211499119334</c:v>
                </c:pt>
                <c:pt idx="102">
                  <c:v>2.877900039324507</c:v>
                </c:pt>
                <c:pt idx="103">
                  <c:v>2.914410189435669</c:v>
                </c:pt>
                <c:pt idx="104">
                  <c:v>2.950604292776172</c:v>
                </c:pt>
                <c:pt idx="105">
                  <c:v>2.986358441258679</c:v>
                </c:pt>
                <c:pt idx="106">
                  <c:v>3.021565813551772</c:v>
                </c:pt>
                <c:pt idx="107">
                  <c:v>3.056139394309514</c:v>
                </c:pt>
                <c:pt idx="108">
                  <c:v>3.090014010818733</c:v>
                </c:pt>
                <c:pt idx="109">
                  <c:v>3.123147646031762</c:v>
                </c:pt>
                <c:pt idx="110">
                  <c:v>3.155522010123479</c:v>
                </c:pt>
                <c:pt idx="111">
                  <c:v>3.18714237572168</c:v>
                </c:pt>
                <c:pt idx="112">
                  <c:v>3.218036704116761</c:v>
                </c:pt>
                <c:pt idx="113">
                  <c:v>3.248254110414654</c:v>
                </c:pt>
                <c:pt idx="114">
                  <c:v>3.277862734175572</c:v>
                </c:pt>
                <c:pt idx="115">
                  <c:v>3.306947098080236</c:v>
                </c:pt>
                <c:pt idx="116">
                  <c:v>3.335605050178322</c:v>
                </c:pt>
                <c:pt idx="117">
                  <c:v>3.36394439499699</c:v>
                </c:pt>
                <c:pt idx="118">
                  <c:v>3.392079325025585</c:v>
                </c:pt>
                <c:pt idx="119">
                  <c:v>3.42012676676257</c:v>
                </c:pt>
                <c:pt idx="120">
                  <c:v>3.448202754639531</c:v>
                </c:pt>
                <c:pt idx="121">
                  <c:v>3.476418941858613</c:v>
                </c:pt>
                <c:pt idx="122">
                  <c:v>3.50487934972668</c:v>
                </c:pt>
                <c:pt idx="123">
                  <c:v>3.533677446764057</c:v>
                </c:pt>
                <c:pt idx="124">
                  <c:v>3.562893636106532</c:v>
                </c:pt>
                <c:pt idx="125">
                  <c:v>3.592593214967443</c:v>
                </c:pt>
                <c:pt idx="126">
                  <c:v>3.622824853689469</c:v>
                </c:pt>
                <c:pt idx="127">
                  <c:v>3.653619624730325</c:v>
                </c:pt>
                <c:pt idx="128">
                  <c:v>3.684990594342374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484936"/>
        <c:axId val="2081487912"/>
      </c:lineChart>
      <c:catAx>
        <c:axId val="20814849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1487912"/>
        <c:crosses val="autoZero"/>
        <c:auto val="1"/>
        <c:lblAlgn val="ctr"/>
        <c:lblOffset val="100"/>
        <c:noMultiLvlLbl val="0"/>
      </c:catAx>
      <c:valAx>
        <c:axId val="208148791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8148493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'Aufgabe 6.1'!$H$11</c:f>
              <c:strCache>
                <c:ptCount val="1"/>
                <c:pt idx="0">
                  <c:v>φ (Grad)</c:v>
                </c:pt>
              </c:strCache>
            </c:strRef>
          </c:tx>
          <c:val>
            <c:numRef>
              <c:f>'Aufgabe 6.1'!$H$13:$H$141</c:f>
              <c:numCache>
                <c:formatCode>0.00</c:formatCode>
                <c:ptCount val="129"/>
                <c:pt idx="0">
                  <c:v>0.0</c:v>
                </c:pt>
                <c:pt idx="1">
                  <c:v>-0.00435216079755274</c:v>
                </c:pt>
                <c:pt idx="2">
                  <c:v>-0.0170762396935149</c:v>
                </c:pt>
                <c:pt idx="3">
                  <c:v>-0.0416802987558404</c:v>
                </c:pt>
                <c:pt idx="4">
                  <c:v>-0.0810044998787968</c:v>
                </c:pt>
                <c:pt idx="5">
                  <c:v>-0.137093052011634</c:v>
                </c:pt>
                <c:pt idx="6">
                  <c:v>-0.21109831919925</c:v>
                </c:pt>
                <c:pt idx="7">
                  <c:v>-0.303219936417562</c:v>
                </c:pt>
                <c:pt idx="8">
                  <c:v>-0.412680553014364</c:v>
                </c:pt>
                <c:pt idx="9">
                  <c:v>-0.537738571317231</c:v>
                </c:pt>
                <c:pt idx="10">
                  <c:v>-0.675737010820777</c:v>
                </c:pt>
                <c:pt idx="11">
                  <c:v>-0.82318644500314</c:v>
                </c:pt>
                <c:pt idx="12">
                  <c:v>-0.975878864289088</c:v>
                </c:pt>
                <c:pt idx="13">
                  <c:v>-1.129028347333482</c:v>
                </c:pt>
                <c:pt idx="14">
                  <c:v>-1.277433601418706</c:v>
                </c:pt>
                <c:pt idx="15">
                  <c:v>-1.415656783799039</c:v>
                </c:pt>
                <c:pt idx="16">
                  <c:v>-1.538212555868219</c:v>
                </c:pt>
                <c:pt idx="17">
                  <c:v>-1.639761061427963</c:v>
                </c:pt>
                <c:pt idx="18">
                  <c:v>-1.715298463060803</c:v>
                </c:pt>
                <c:pt idx="19">
                  <c:v>-1.760338814277234</c:v>
                </c:pt>
                <c:pt idx="20">
                  <c:v>-1.771081381215912</c:v>
                </c:pt>
                <c:pt idx="21">
                  <c:v>-1.744558042023208</c:v>
                </c:pt>
                <c:pt idx="22">
                  <c:v>-1.678756065292594</c:v>
                </c:pt>
                <c:pt idx="23">
                  <c:v>-1.572712377358363</c:v>
                </c:pt>
                <c:pt idx="24">
                  <c:v>-1.42657634448156</c:v>
                </c:pt>
                <c:pt idx="25">
                  <c:v>-1.241639090040976</c:v>
                </c:pt>
                <c:pt idx="26">
                  <c:v>-1.024680567854925</c:v>
                </c:pt>
                <c:pt idx="27">
                  <c:v>-0.783245620042545</c:v>
                </c:pt>
                <c:pt idx="28">
                  <c:v>-0.525392167011069</c:v>
                </c:pt>
                <c:pt idx="29">
                  <c:v>-0.259431480222636</c:v>
                </c:pt>
                <c:pt idx="30">
                  <c:v>0.00633135182137935</c:v>
                </c:pt>
                <c:pt idx="31">
                  <c:v>0.263848905566443</c:v>
                </c:pt>
                <c:pt idx="32">
                  <c:v>0.505567475696007</c:v>
                </c:pt>
                <c:pt idx="33">
                  <c:v>0.724641014133887</c:v>
                </c:pt>
                <c:pt idx="34">
                  <c:v>0.915117141887773</c:v>
                </c:pt>
                <c:pt idx="35">
                  <c:v>1.072090443288883</c:v>
                </c:pt>
                <c:pt idx="36">
                  <c:v>1.191819388790295</c:v>
                </c:pt>
                <c:pt idx="37">
                  <c:v>1.271804445373777</c:v>
                </c:pt>
                <c:pt idx="38">
                  <c:v>1.31082618371613</c:v>
                </c:pt>
                <c:pt idx="39">
                  <c:v>1.308943439571862</c:v>
                </c:pt>
                <c:pt idx="40">
                  <c:v>1.267452795566152</c:v>
                </c:pt>
                <c:pt idx="41">
                  <c:v>1.188811783331338</c:v>
                </c:pt>
                <c:pt idx="42">
                  <c:v>1.076529232578447</c:v>
                </c:pt>
                <c:pt idx="43">
                  <c:v>0.9350270854066</c:v>
                </c:pt>
                <c:pt idx="44">
                  <c:v>0.769478727985215</c:v>
                </c:pt>
                <c:pt idx="45">
                  <c:v>0.585629450243714</c:v>
                </c:pt>
                <c:pt idx="46">
                  <c:v>0.389605015759722</c:v>
                </c:pt>
                <c:pt idx="47">
                  <c:v>0.187714503055253</c:v>
                </c:pt>
                <c:pt idx="48">
                  <c:v>-0.0137464335992403</c:v>
                </c:pt>
                <c:pt idx="49">
                  <c:v>-0.208685934791499</c:v>
                </c:pt>
                <c:pt idx="50">
                  <c:v>-0.391394362166068</c:v>
                </c:pt>
                <c:pt idx="51">
                  <c:v>-0.556705735312133</c:v>
                </c:pt>
                <c:pt idx="52">
                  <c:v>-0.700137802141282</c:v>
                </c:pt>
                <c:pt idx="53">
                  <c:v>-0.818007145668298</c:v>
                </c:pt>
                <c:pt idx="54">
                  <c:v>-0.907516595583334</c:v>
                </c:pt>
                <c:pt idx="55">
                  <c:v>-0.966813135028722</c:v>
                </c:pt>
                <c:pt idx="56">
                  <c:v>-0.995015441914289</c:v>
                </c:pt>
                <c:pt idx="57">
                  <c:v>-0.992211150351376</c:v>
                </c:pt>
                <c:pt idx="58">
                  <c:v>-0.95942483276457</c:v>
                </c:pt>
                <c:pt idx="59">
                  <c:v>-0.898558560172376</c:v>
                </c:pt>
                <c:pt idx="60">
                  <c:v>-0.812307672805026</c:v>
                </c:pt>
                <c:pt idx="61">
                  <c:v>-0.704055064666838</c:v>
                </c:pt>
                <c:pt idx="62">
                  <c:v>-0.577747836633841</c:v>
                </c:pt>
                <c:pt idx="63">
                  <c:v>-0.437760590158395</c:v>
                </c:pt>
                <c:pt idx="64">
                  <c:v>-0.28874990902589</c:v>
                </c:pt>
                <c:pt idx="65">
                  <c:v>-0.135504705836009</c:v>
                </c:pt>
                <c:pt idx="66">
                  <c:v>0.0172029065249659</c:v>
                </c:pt>
                <c:pt idx="67">
                  <c:v>0.164761715283337</c:v>
                </c:pt>
                <c:pt idx="68">
                  <c:v>0.302856265737414</c:v>
                </c:pt>
                <c:pt idx="69">
                  <c:v>0.427588670246294</c:v>
                </c:pt>
                <c:pt idx="70">
                  <c:v>0.535584072489866</c:v>
                </c:pt>
                <c:pt idx="71">
                  <c:v>0.624077066408182</c:v>
                </c:pt>
                <c:pt idx="72">
                  <c:v>0.690977028195393</c:v>
                </c:pt>
                <c:pt idx="73">
                  <c:v>0.734911020589191</c:v>
                </c:pt>
                <c:pt idx="74">
                  <c:v>0.755243648953198</c:v>
                </c:pt>
                <c:pt idx="75">
                  <c:v>0.752073965883352</c:v>
                </c:pt>
                <c:pt idx="76">
                  <c:v>0.726210213637342</c:v>
                </c:pt>
                <c:pt idx="77">
                  <c:v>0.679123841349171</c:v>
                </c:pt>
                <c:pt idx="78">
                  <c:v>0.612884818483397</c:v>
                </c:pt>
                <c:pt idx="79">
                  <c:v>0.530080771507998</c:v>
                </c:pt>
                <c:pt idx="80">
                  <c:v>0.433722884395247</c:v>
                </c:pt>
                <c:pt idx="81">
                  <c:v>0.327141815546663</c:v>
                </c:pt>
                <c:pt idx="82">
                  <c:v>0.213877087707228</c:v>
                </c:pt>
                <c:pt idx="83">
                  <c:v>0.0975635004778595</c:v>
                </c:pt>
                <c:pt idx="84">
                  <c:v>-0.0181819023044931</c:v>
                </c:pt>
                <c:pt idx="85">
                  <c:v>-0.129868901902396</c:v>
                </c:pt>
                <c:pt idx="86">
                  <c:v>-0.234236025697259</c:v>
                </c:pt>
                <c:pt idx="87">
                  <c:v>-0.328342447992362</c:v>
                </c:pt>
                <c:pt idx="88">
                  <c:v>-0.409647389369662</c:v>
                </c:pt>
                <c:pt idx="89">
                  <c:v>-0.476074987390993</c:v>
                </c:pt>
                <c:pt idx="90">
                  <c:v>-0.526063113127103</c:v>
                </c:pt>
                <c:pt idx="91">
                  <c:v>-0.558595140715843</c:v>
                </c:pt>
                <c:pt idx="92">
                  <c:v>-0.573214223810504</c:v>
                </c:pt>
                <c:pt idx="93">
                  <c:v>-0.570020176392888</c:v>
                </c:pt>
                <c:pt idx="94">
                  <c:v>-0.549649579612384</c:v>
                </c:pt>
                <c:pt idx="95">
                  <c:v>-0.51324022577637</c:v>
                </c:pt>
                <c:pt idx="96">
                  <c:v>-0.462381451578526</c:v>
                </c:pt>
                <c:pt idx="97">
                  <c:v>-0.399052293217631</c:v>
                </c:pt>
                <c:pt idx="98">
                  <c:v>-0.325549706527744</c:v>
                </c:pt>
                <c:pt idx="99">
                  <c:v>-0.244409328327619</c:v>
                </c:pt>
                <c:pt idx="100">
                  <c:v>-0.158321406184237</c:v>
                </c:pt>
                <c:pt idx="101">
                  <c:v>-0.0700445905850709</c:v>
                </c:pt>
                <c:pt idx="102">
                  <c:v>0.0176797333470011</c:v>
                </c:pt>
                <c:pt idx="103">
                  <c:v>0.102209994937283</c:v>
                </c:pt>
                <c:pt idx="104">
                  <c:v>0.181081460875214</c:v>
                </c:pt>
                <c:pt idx="105">
                  <c:v>0.252075565394566</c:v>
                </c:pt>
                <c:pt idx="106">
                  <c:v>0.313279679916526</c:v>
                </c:pt>
                <c:pt idx="107">
                  <c:v>0.363135800667622</c:v>
                </c:pt>
                <c:pt idx="108">
                  <c:v>0.400477014709061</c:v>
                </c:pt>
                <c:pt idx="109">
                  <c:v>0.424551009697454</c:v>
                </c:pt>
                <c:pt idx="110">
                  <c:v>0.435030307574155</c:v>
                </c:pt>
                <c:pt idx="111">
                  <c:v>0.432009314376587</c:v>
                </c:pt>
                <c:pt idx="112">
                  <c:v>0.415988675082686</c:v>
                </c:pt>
                <c:pt idx="113">
                  <c:v>0.387847792280033</c:v>
                </c:pt>
                <c:pt idx="114">
                  <c:v>0.348806700099278</c:v>
                </c:pt>
                <c:pt idx="115">
                  <c:v>0.300378771314931</c:v>
                </c:pt>
                <c:pt idx="116">
                  <c:v>0.244315968514506</c:v>
                </c:pt>
                <c:pt idx="117">
                  <c:v>0.182548524328806</c:v>
                </c:pt>
                <c:pt idx="118">
                  <c:v>0.117121047411497</c:v>
                </c:pt>
                <c:pt idx="119">
                  <c:v>0.0501270986610303</c:v>
                </c:pt>
                <c:pt idx="120">
                  <c:v>-0.0163557334200594</c:v>
                </c:pt>
                <c:pt idx="121">
                  <c:v>-0.0803283059405083</c:v>
                </c:pt>
                <c:pt idx="122">
                  <c:v>-0.139928124568201</c:v>
                </c:pt>
                <c:pt idx="123">
                  <c:v>-0.193481641886927</c:v>
                </c:pt>
                <c:pt idx="124">
                  <c:v>-0.23954924529033</c:v>
                </c:pt>
                <c:pt idx="125">
                  <c:v>-0.276961792672711</c:v>
                </c:pt>
                <c:pt idx="126">
                  <c:v>-0.304847844901908</c:v>
                </c:pt>
                <c:pt idx="127">
                  <c:v>-0.322651051763495</c:v>
                </c:pt>
                <c:pt idx="128">
                  <c:v>-0.330137462909171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967832"/>
        <c:axId val="2082970776"/>
      </c:lineChart>
      <c:catAx>
        <c:axId val="2082967832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970776"/>
        <c:crosses val="autoZero"/>
        <c:auto val="1"/>
        <c:lblAlgn val="ctr"/>
        <c:lblOffset val="100"/>
        <c:noMultiLvlLbl val="0"/>
      </c:catAx>
      <c:valAx>
        <c:axId val="20829707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2967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'Aufgabe 6.1'!$B$11</c:f>
              <c:strCache>
                <c:ptCount val="1"/>
                <c:pt idx="0">
                  <c:v>F(k) [N]</c:v>
                </c:pt>
              </c:strCache>
            </c:strRef>
          </c:tx>
          <c:val>
            <c:numRef>
              <c:f>'Aufgabe 6.1'!$B$13:$B$141</c:f>
              <c:numCache>
                <c:formatCode>0.000</c:formatCode>
                <c:ptCount val="129"/>
                <c:pt idx="0">
                  <c:v>0.0</c:v>
                </c:pt>
                <c:pt idx="1">
                  <c:v>62.66661678215213</c:v>
                </c:pt>
                <c:pt idx="2">
                  <c:v>124.3449435824274</c:v>
                </c:pt>
                <c:pt idx="3">
                  <c:v>184.062276342339</c:v>
                </c:pt>
                <c:pt idx="4">
                  <c:v>240.8768370508577</c:v>
                </c:pt>
                <c:pt idx="5">
                  <c:v>293.8926261462366</c:v>
                </c:pt>
                <c:pt idx="6">
                  <c:v>342.2735529643444</c:v>
                </c:pt>
                <c:pt idx="7">
                  <c:v>385.2566213878947</c:v>
                </c:pt>
                <c:pt idx="8">
                  <c:v>422.1639627510075</c:v>
                </c:pt>
                <c:pt idx="9">
                  <c:v>452.4135262330098</c:v>
                </c:pt>
                <c:pt idx="10">
                  <c:v>475.5282581475768</c:v>
                </c:pt>
                <c:pt idx="11">
                  <c:v>491.1436253643443</c:v>
                </c:pt>
                <c:pt idx="12">
                  <c:v>499.0133642141358</c:v>
                </c:pt>
                <c:pt idx="13">
                  <c:v>499.0133642141358</c:v>
                </c:pt>
                <c:pt idx="14">
                  <c:v>491.1436253643443</c:v>
                </c:pt>
                <c:pt idx="15">
                  <c:v>475.5282581475768</c:v>
                </c:pt>
                <c:pt idx="16">
                  <c:v>452.4135262330097</c:v>
                </c:pt>
                <c:pt idx="17">
                  <c:v>422.1639627510075</c:v>
                </c:pt>
                <c:pt idx="18">
                  <c:v>385.2566213878947</c:v>
                </c:pt>
                <c:pt idx="19">
                  <c:v>342.2735529643443</c:v>
                </c:pt>
                <c:pt idx="20">
                  <c:v>293.8926261462366</c:v>
                </c:pt>
                <c:pt idx="21">
                  <c:v>240.8768370508574</c:v>
                </c:pt>
                <c:pt idx="22">
                  <c:v>184.0622763423389</c:v>
                </c:pt>
                <c:pt idx="23">
                  <c:v>124.3449435824274</c:v>
                </c:pt>
                <c:pt idx="24">
                  <c:v>62.66661678215204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-1.76421377506841E-11</c:v>
                </c:pt>
                <c:pt idx="73">
                  <c:v>1.76399693463392E-11</c:v>
                </c:pt>
                <c:pt idx="74">
                  <c:v>5.29220764433624E-11</c:v>
                </c:pt>
                <c:pt idx="75">
                  <c:v>-2.54826541812303E-11</c:v>
                </c:pt>
                <c:pt idx="76">
                  <c:v>-4.7043965945015E-11</c:v>
                </c:pt>
                <c:pt idx="77">
                  <c:v>-1.17618588479917E-11</c:v>
                </c:pt>
                <c:pt idx="78">
                  <c:v>-3.33231706117765E-11</c:v>
                </c:pt>
                <c:pt idx="79">
                  <c:v>1.95893648524681E-12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996328"/>
        <c:axId val="2082999272"/>
      </c:lineChart>
      <c:catAx>
        <c:axId val="208299632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999272"/>
        <c:crosses val="autoZero"/>
        <c:auto val="1"/>
        <c:lblAlgn val="ctr"/>
        <c:lblOffset val="100"/>
        <c:noMultiLvlLbl val="0"/>
      </c:catAx>
      <c:valAx>
        <c:axId val="208299927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82996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0979884076990376"/>
          <c:y val="0.197222222222222"/>
          <c:w val="0.749867235345582"/>
          <c:h val="0.67154345290172"/>
        </c:manualLayout>
      </c:layout>
      <c:scatterChart>
        <c:scatterStyle val="lineMarker"/>
        <c:varyColors val="0"/>
        <c:ser>
          <c:idx val="0"/>
          <c:order val="0"/>
          <c:tx>
            <c:strRef>
              <c:f>'Aufgabe 6.2'!$B$2</c:f>
              <c:strCache>
                <c:ptCount val="1"/>
                <c:pt idx="0">
                  <c:v>yi</c:v>
                </c:pt>
              </c:strCache>
            </c:strRef>
          </c:tx>
          <c:spPr>
            <a:ln w="47625">
              <a:noFill/>
            </a:ln>
          </c:spPr>
          <c:xVal>
            <c:numRef>
              <c:f>'Aufgabe 6.2'!$A$3:$A$24</c:f>
              <c:numCache>
                <c:formatCode>0.00</c:formatCode>
                <c:ptCount val="22"/>
                <c:pt idx="0">
                  <c:v>3.91499740016549</c:v>
                </c:pt>
                <c:pt idx="1">
                  <c:v>2.975421103259621</c:v>
                </c:pt>
                <c:pt idx="2">
                  <c:v>8.75440375138685</c:v>
                </c:pt>
                <c:pt idx="3">
                  <c:v>3.050224306891923</c:v>
                </c:pt>
                <c:pt idx="4">
                  <c:v>0.734191059890282</c:v>
                </c:pt>
                <c:pt idx="5">
                  <c:v>4.702990221727291</c:v>
                </c:pt>
                <c:pt idx="6">
                  <c:v>9.684864059686937</c:v>
                </c:pt>
                <c:pt idx="7">
                  <c:v>1.039390829644544</c:v>
                </c:pt>
                <c:pt idx="8">
                  <c:v>2.676592928128035</c:v>
                </c:pt>
                <c:pt idx="9">
                  <c:v>6.051265477710824</c:v>
                </c:pt>
                <c:pt idx="10">
                  <c:v>3.29486754112229</c:v>
                </c:pt>
                <c:pt idx="11">
                  <c:v>5.778094744447087</c:v>
                </c:pt>
                <c:pt idx="12">
                  <c:v>0.86369249021907</c:v>
                </c:pt>
                <c:pt idx="13">
                  <c:v>9.694572247468668</c:v>
                </c:pt>
                <c:pt idx="14">
                  <c:v>9.919277344105346</c:v>
                </c:pt>
                <c:pt idx="15">
                  <c:v>9.527819714123921</c:v>
                </c:pt>
                <c:pt idx="16">
                  <c:v>2.056954466239571</c:v>
                </c:pt>
                <c:pt idx="17">
                  <c:v>7.935993915735828</c:v>
                </c:pt>
                <c:pt idx="18">
                  <c:v>8.363218266360427</c:v>
                </c:pt>
                <c:pt idx="19">
                  <c:v>1.496001147287497</c:v>
                </c:pt>
                <c:pt idx="20">
                  <c:v>0.164364088209356</c:v>
                </c:pt>
                <c:pt idx="21">
                  <c:v>9.168523101901647</c:v>
                </c:pt>
              </c:numCache>
            </c:numRef>
          </c:xVal>
          <c:yVal>
            <c:numRef>
              <c:f>'Aufgabe 6.2'!$B$3:$B$24</c:f>
              <c:numCache>
                <c:formatCode>0.00</c:formatCode>
                <c:ptCount val="22"/>
                <c:pt idx="0">
                  <c:v>6.875545745019848</c:v>
                </c:pt>
                <c:pt idx="1">
                  <c:v>2.885977640506877</c:v>
                </c:pt>
                <c:pt idx="2">
                  <c:v>12.68973984494468</c:v>
                </c:pt>
                <c:pt idx="3">
                  <c:v>4.802252101763324</c:v>
                </c:pt>
                <c:pt idx="4">
                  <c:v>2.531219481243835</c:v>
                </c:pt>
                <c:pt idx="5">
                  <c:v>7.442090263234802</c:v>
                </c:pt>
                <c:pt idx="6">
                  <c:v>11.88077687085836</c:v>
                </c:pt>
                <c:pt idx="7">
                  <c:v>3.793512963249063</c:v>
                </c:pt>
                <c:pt idx="8">
                  <c:v>2.709019951676897</c:v>
                </c:pt>
                <c:pt idx="9">
                  <c:v>10.14106808545285</c:v>
                </c:pt>
                <c:pt idx="10">
                  <c:v>5.09130710294816</c:v>
                </c:pt>
                <c:pt idx="11">
                  <c:v>7.854597775618037</c:v>
                </c:pt>
                <c:pt idx="12">
                  <c:v>2.302137477375692</c:v>
                </c:pt>
                <c:pt idx="13">
                  <c:v>11.4367037723933</c:v>
                </c:pt>
                <c:pt idx="14">
                  <c:v>11.48517217233257</c:v>
                </c:pt>
                <c:pt idx="15">
                  <c:v>11.63870737750651</c:v>
                </c:pt>
                <c:pt idx="16">
                  <c:v>2.453868197082127</c:v>
                </c:pt>
                <c:pt idx="17">
                  <c:v>12.12134819553563</c:v>
                </c:pt>
                <c:pt idx="18">
                  <c:v>10.45402755308688</c:v>
                </c:pt>
                <c:pt idx="19">
                  <c:v>1.821063507443619</c:v>
                </c:pt>
                <c:pt idx="20">
                  <c:v>-0.222663206822884</c:v>
                </c:pt>
                <c:pt idx="21">
                  <c:v>14.29161834782099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129480"/>
        <c:axId val="2071132440"/>
      </c:scatterChart>
      <c:valAx>
        <c:axId val="20711294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071132440"/>
        <c:crosses val="autoZero"/>
        <c:crossBetween val="midCat"/>
      </c:valAx>
      <c:valAx>
        <c:axId val="20711324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11294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Steuerung_2!$E$12</c:f>
              <c:strCache>
                <c:ptCount val="1"/>
                <c:pt idx="0">
                  <c:v>Drehzahl f[rpm]</c:v>
                </c:pt>
              </c:strCache>
            </c:strRef>
          </c:tx>
          <c:val>
            <c:numRef>
              <c:f>Steuerung_2!$E$13:$E$113</c:f>
              <c:numCache>
                <c:formatCode>General</c:formatCode>
                <c:ptCount val="101"/>
                <c:pt idx="1">
                  <c:v>3000.0</c:v>
                </c:pt>
                <c:pt idx="2">
                  <c:v>3000.0</c:v>
                </c:pt>
                <c:pt idx="3">
                  <c:v>3000.0</c:v>
                </c:pt>
                <c:pt idx="4">
                  <c:v>3000.0</c:v>
                </c:pt>
                <c:pt idx="5">
                  <c:v>3000.0</c:v>
                </c:pt>
                <c:pt idx="6">
                  <c:v>3000.0</c:v>
                </c:pt>
                <c:pt idx="7">
                  <c:v>3000.0</c:v>
                </c:pt>
                <c:pt idx="8">
                  <c:v>3000.0</c:v>
                </c:pt>
                <c:pt idx="9">
                  <c:v>3000.0</c:v>
                </c:pt>
                <c:pt idx="10">
                  <c:v>3000.0</c:v>
                </c:pt>
                <c:pt idx="11">
                  <c:v>2820.0</c:v>
                </c:pt>
                <c:pt idx="12">
                  <c:v>2640.0</c:v>
                </c:pt>
                <c:pt idx="13">
                  <c:v>2460.0</c:v>
                </c:pt>
                <c:pt idx="14">
                  <c:v>2280.0</c:v>
                </c:pt>
                <c:pt idx="15">
                  <c:v>2100.0</c:v>
                </c:pt>
                <c:pt idx="16">
                  <c:v>192</c:v>
                </c:pt>
                <c:pt idx="17">
                  <c:v>1740.0</c:v>
                </c:pt>
                <c:pt idx="18">
                  <c:v>1559.999999999999</c:v>
                </c:pt>
                <c:pt idx="19">
                  <c:v>1380.0</c:v>
                </c:pt>
                <c:pt idx="20">
                  <c:v>1200.0</c:v>
                </c:pt>
                <c:pt idx="21">
                  <c:v>102</c:v>
                </c:pt>
                <c:pt idx="22">
                  <c:v>839.9999999999999</c:v>
                </c:pt>
                <c:pt idx="23">
                  <c:v>660.0000000000001</c:v>
                </c:pt>
                <c:pt idx="24">
                  <c:v>480.0000000000005</c:v>
                </c:pt>
                <c:pt idx="25">
                  <c:v>300.0</c:v>
                </c:pt>
                <c:pt idx="26">
                  <c:v>119.9999999999996</c:v>
                </c:pt>
                <c:pt idx="27">
                  <c:v>-60.00000000000085</c:v>
                </c:pt>
                <c:pt idx="28">
                  <c:v>-239.9999999999991</c:v>
                </c:pt>
                <c:pt idx="29">
                  <c:v>-419.9999999999995</c:v>
                </c:pt>
                <c:pt idx="30">
                  <c:v>-600.0</c:v>
                </c:pt>
                <c:pt idx="31">
                  <c:v>-780.0000000000003</c:v>
                </c:pt>
                <c:pt idx="32">
                  <c:v>-960.000000000001</c:v>
                </c:pt>
                <c:pt idx="33">
                  <c:v>-114</c:v>
                </c:pt>
                <c:pt idx="34">
                  <c:v>-132</c:v>
                </c:pt>
                <c:pt idx="35">
                  <c:v>-1500.0</c:v>
                </c:pt>
                <c:pt idx="36">
                  <c:v>-1680.000000000001</c:v>
                </c:pt>
                <c:pt idx="37">
                  <c:v>-1860.000000000001</c:v>
                </c:pt>
                <c:pt idx="38">
                  <c:v>-204</c:v>
                </c:pt>
                <c:pt idx="39">
                  <c:v>-222</c:v>
                </c:pt>
                <c:pt idx="40">
                  <c:v>-2400.0</c:v>
                </c:pt>
                <c:pt idx="41">
                  <c:v>-2400.0</c:v>
                </c:pt>
                <c:pt idx="42">
                  <c:v>-2400.0</c:v>
                </c:pt>
                <c:pt idx="43">
                  <c:v>-2400.0</c:v>
                </c:pt>
                <c:pt idx="44">
                  <c:v>-2400.0</c:v>
                </c:pt>
                <c:pt idx="45">
                  <c:v>-2400.0</c:v>
                </c:pt>
                <c:pt idx="46">
                  <c:v>-2400.0</c:v>
                </c:pt>
                <c:pt idx="47">
                  <c:v>-2400.0</c:v>
                </c:pt>
                <c:pt idx="48">
                  <c:v>-2400.0</c:v>
                </c:pt>
                <c:pt idx="49">
                  <c:v>-2400.0</c:v>
                </c:pt>
                <c:pt idx="50">
                  <c:v>-2400.0</c:v>
                </c:pt>
                <c:pt idx="51">
                  <c:v>-2400.0</c:v>
                </c:pt>
                <c:pt idx="52">
                  <c:v>-2400.0</c:v>
                </c:pt>
                <c:pt idx="53">
                  <c:v>-2400.0</c:v>
                </c:pt>
                <c:pt idx="54">
                  <c:v>-2400.0</c:v>
                </c:pt>
                <c:pt idx="55">
                  <c:v>-2400.0</c:v>
                </c:pt>
                <c:pt idx="56">
                  <c:v>-2400.0</c:v>
                </c:pt>
                <c:pt idx="57">
                  <c:v>-2400.0</c:v>
                </c:pt>
                <c:pt idx="58">
                  <c:v>-2400.0</c:v>
                </c:pt>
                <c:pt idx="59">
                  <c:v>-2400.0</c:v>
                </c:pt>
                <c:pt idx="60">
                  <c:v>-2400.0</c:v>
                </c:pt>
                <c:pt idx="61">
                  <c:v>-2400.0</c:v>
                </c:pt>
                <c:pt idx="62">
                  <c:v>-2400.0</c:v>
                </c:pt>
                <c:pt idx="63">
                  <c:v>-2400.0</c:v>
                </c:pt>
                <c:pt idx="64">
                  <c:v>-2400.0</c:v>
                </c:pt>
                <c:pt idx="65">
                  <c:v>-2400.0</c:v>
                </c:pt>
                <c:pt idx="66">
                  <c:v>-2400.0</c:v>
                </c:pt>
                <c:pt idx="67">
                  <c:v>-2400.0</c:v>
                </c:pt>
                <c:pt idx="68">
                  <c:v>-2400.0</c:v>
                </c:pt>
                <c:pt idx="69">
                  <c:v>-2400.0</c:v>
                </c:pt>
                <c:pt idx="70">
                  <c:v>-2400.0</c:v>
                </c:pt>
                <c:pt idx="71">
                  <c:v>-2400.0</c:v>
                </c:pt>
                <c:pt idx="72">
                  <c:v>4800.0</c:v>
                </c:pt>
                <c:pt idx="73">
                  <c:v>4800.0</c:v>
                </c:pt>
                <c:pt idx="74">
                  <c:v>4800.0</c:v>
                </c:pt>
                <c:pt idx="75">
                  <c:v>4800.0</c:v>
                </c:pt>
                <c:pt idx="76">
                  <c:v>4800.0</c:v>
                </c:pt>
                <c:pt idx="77">
                  <c:v>4800.0</c:v>
                </c:pt>
                <c:pt idx="78">
                  <c:v>4800.0</c:v>
                </c:pt>
                <c:pt idx="79">
                  <c:v>4800.0</c:v>
                </c:pt>
                <c:pt idx="80">
                  <c:v>4800.0</c:v>
                </c:pt>
                <c:pt idx="81">
                  <c:v>4800.0</c:v>
                </c:pt>
                <c:pt idx="82">
                  <c:v>4800.0</c:v>
                </c:pt>
                <c:pt idx="83">
                  <c:v>4800.0</c:v>
                </c:pt>
                <c:pt idx="84">
                  <c:v>4800.0</c:v>
                </c:pt>
                <c:pt idx="85">
                  <c:v>4800.0</c:v>
                </c:pt>
                <c:pt idx="86">
                  <c:v>4800.0</c:v>
                </c:pt>
                <c:pt idx="87">
                  <c:v>4800.0</c:v>
                </c:pt>
                <c:pt idx="88">
                  <c:v>4800.0</c:v>
                </c:pt>
                <c:pt idx="89">
                  <c:v>4800.0</c:v>
                </c:pt>
                <c:pt idx="90">
                  <c:v>4800.0</c:v>
                </c:pt>
                <c:pt idx="91">
                  <c:v>4800.0</c:v>
                </c:pt>
                <c:pt idx="92">
                  <c:v>4800.0</c:v>
                </c:pt>
                <c:pt idx="93">
                  <c:v>4800.0</c:v>
                </c:pt>
                <c:pt idx="94">
                  <c:v>4800.0</c:v>
                </c:pt>
                <c:pt idx="95">
                  <c:v>4800.0</c:v>
                </c:pt>
                <c:pt idx="96">
                  <c:v>4800.0</c:v>
                </c:pt>
                <c:pt idx="97">
                  <c:v>4800.0</c:v>
                </c:pt>
                <c:pt idx="98">
                  <c:v>4800.0</c:v>
                </c:pt>
                <c:pt idx="99">
                  <c:v>4800.0</c:v>
                </c:pt>
                <c:pt idx="100">
                  <c:v>4800.0</c:v>
                </c:pt>
              </c:numCache>
            </c:numRef>
          </c:val>
          <c:smooth val="0"/>
        </c:ser>
        <c:ser>
          <c:idx val="7"/>
          <c:order val="1"/>
          <c:tx>
            <c:strRef>
              <c:f>Steuerung_2!$H$12</c:f>
              <c:strCache>
                <c:ptCount val="1"/>
                <c:pt idx="0">
                  <c:v>f(k) [rpm]</c:v>
                </c:pt>
              </c:strCache>
            </c:strRef>
          </c:tx>
          <c:val>
            <c:numRef>
              <c:f>Steuerung_2!$H$13:$H$113</c:f>
              <c:numCache>
                <c:formatCode>0</c:formatCode>
                <c:ptCount val="101"/>
                <c:pt idx="0">
                  <c:v>2999.611063262056</c:v>
                </c:pt>
                <c:pt idx="1">
                  <c:v>2999.654775162225</c:v>
                </c:pt>
                <c:pt idx="2">
                  <c:v>2999.693574360584</c:v>
                </c:pt>
                <c:pt idx="3">
                  <c:v>2999.728012986851</c:v>
                </c:pt>
                <c:pt idx="4">
                  <c:v>2999.758581117876</c:v>
                </c:pt>
                <c:pt idx="5">
                  <c:v>2999.785713751657</c:v>
                </c:pt>
                <c:pt idx="6">
                  <c:v>2999.809796997545</c:v>
                </c:pt>
                <c:pt idx="7">
                  <c:v>2999.831173570761</c:v>
                </c:pt>
                <c:pt idx="8">
                  <c:v>2999.850147669377</c:v>
                </c:pt>
                <c:pt idx="9">
                  <c:v>2999.866989303188</c:v>
                </c:pt>
                <c:pt idx="10">
                  <c:v>2999.881938136078</c:v>
                </c:pt>
                <c:pt idx="11">
                  <c:v>2979.665330768114</c:v>
                </c:pt>
                <c:pt idx="12">
                  <c:v>2941.490955398344</c:v>
                </c:pt>
                <c:pt idx="13">
                  <c:v>2887.37705326132</c:v>
                </c:pt>
                <c:pt idx="14">
                  <c:v>2819.115039090638</c:v>
                </c:pt>
                <c:pt idx="15">
                  <c:v>2738.294993741253</c:v>
                </c:pt>
                <c:pt idx="16">
                  <c:v>2646.328291741843</c:v>
                </c:pt>
                <c:pt idx="17">
                  <c:v>2544.467685777276</c:v>
                </c:pt>
                <c:pt idx="18">
                  <c:v>2433.825133912225</c:v>
                </c:pt>
                <c:pt idx="19">
                  <c:v>2315.387623245211</c:v>
                </c:pt>
                <c:pt idx="20">
                  <c:v>2190.031215170622</c:v>
                </c:pt>
                <c:pt idx="21">
                  <c:v>2058.533512119014</c:v>
                </c:pt>
                <c:pt idx="22">
                  <c:v>1921.584723182907</c:v>
                </c:pt>
                <c:pt idx="23">
                  <c:v>1779.797486096794</c:v>
                </c:pt>
                <c:pt idx="24">
                  <c:v>1633.715585342499</c:v>
                </c:pt>
                <c:pt idx="25">
                  <c:v>1483.821690442359</c:v>
                </c:pt>
                <c:pt idx="26">
                  <c:v>1330.544224559555</c:v>
                </c:pt>
                <c:pt idx="27">
                  <c:v>1174.263461148815</c:v>
                </c:pt>
                <c:pt idx="28">
                  <c:v>1015.316935415512</c:v>
                </c:pt>
                <c:pt idx="29">
                  <c:v>854.0042475906077</c:v>
                </c:pt>
                <c:pt idx="30">
                  <c:v>690.5913263741734</c:v>
                </c:pt>
                <c:pt idx="31">
                  <c:v>525.3142132181618</c:v>
                </c:pt>
                <c:pt idx="32">
                  <c:v>358.3824213004466</c:v>
                </c:pt>
                <c:pt idx="33">
                  <c:v>189.9819169898144</c:v>
                </c:pt>
                <c:pt idx="34">
                  <c:v>20.2777662294706</c:v>
                </c:pt>
                <c:pt idx="35">
                  <c:v>-150.5835165017352</c:v>
                </c:pt>
                <c:pt idx="36">
                  <c:v>-322.47188322361</c:v>
                </c:pt>
                <c:pt idx="37">
                  <c:v>-495.2719018144605</c:v>
                </c:pt>
                <c:pt idx="38">
                  <c:v>-668.8811133610557</c:v>
                </c:pt>
                <c:pt idx="39">
                  <c:v>-843.2085741230694</c:v>
                </c:pt>
                <c:pt idx="40">
                  <c:v>-1018.173561363517</c:v>
                </c:pt>
                <c:pt idx="41">
                  <c:v>-1173.474548500157</c:v>
                </c:pt>
                <c:pt idx="42">
                  <c:v>-1311.321537123487</c:v>
                </c:pt>
                <c:pt idx="43">
                  <c:v>-1433.676150721672</c:v>
                </c:pt>
                <c:pt idx="44">
                  <c:v>-1542.279549448567</c:v>
                </c:pt>
                <c:pt idx="45">
                  <c:v>-1638.677207601179</c:v>
                </c:pt>
                <c:pt idx="46">
                  <c:v>-1724.240906401028</c:v>
                </c:pt>
                <c:pt idx="47">
                  <c:v>-1800.188255046374</c:v>
                </c:pt>
                <c:pt idx="48">
                  <c:v>-1867.600017828513</c:v>
                </c:pt>
                <c:pt idx="49">
                  <c:v>-1927.435493884644</c:v>
                </c:pt>
                <c:pt idx="50">
                  <c:v>-1980.546168447993</c:v>
                </c:pt>
                <c:pt idx="51">
                  <c:v>-2027.687829858489</c:v>
                </c:pt>
                <c:pt idx="52">
                  <c:v>-2069.531324764417</c:v>
                </c:pt>
                <c:pt idx="53">
                  <c:v>-2106.672104566304</c:v>
                </c:pt>
                <c:pt idx="54">
                  <c:v>-2139.638698953163</c:v>
                </c:pt>
                <c:pt idx="55">
                  <c:v>-2168.900237113233</c:v>
                </c:pt>
                <c:pt idx="56">
                  <c:v>-2194.873123649384</c:v>
                </c:pt>
                <c:pt idx="57">
                  <c:v>-2217.926964200402</c:v>
                </c:pt>
                <c:pt idx="58">
                  <c:v>-2238.389825092356</c:v>
                </c:pt>
                <c:pt idx="59">
                  <c:v>-2256.552901867214</c:v>
                </c:pt>
                <c:pt idx="60">
                  <c:v>-2272.674663123925</c:v>
                </c:pt>
                <c:pt idx="61">
                  <c:v>-2286.984528640663</c:v>
                </c:pt>
                <c:pt idx="62">
                  <c:v>-2299.686134119522</c:v>
                </c:pt>
                <c:pt idx="63">
                  <c:v>-2310.960229012441</c:v>
                </c:pt>
                <c:pt idx="64">
                  <c:v>-2320.967248665671</c:v>
                </c:pt>
                <c:pt idx="65">
                  <c:v>-2329.84959738557</c:v>
                </c:pt>
                <c:pt idx="66">
                  <c:v>-2337.733674914732</c:v>
                </c:pt>
                <c:pt idx="67">
                  <c:v>-2344.731675156104</c:v>
                </c:pt>
                <c:pt idx="68">
                  <c:v>-2350.943182741757</c:v>
                </c:pt>
                <c:pt idx="69">
                  <c:v>-2356.45659016614</c:v>
                </c:pt>
                <c:pt idx="70">
                  <c:v>-2361.350355650296</c:v>
                </c:pt>
                <c:pt idx="71">
                  <c:v>-2365.694119636975</c:v>
                </c:pt>
                <c:pt idx="72">
                  <c:v>-1560.354650667967</c:v>
                </c:pt>
                <c:pt idx="73">
                  <c:v>-845.5258355799181</c:v>
                </c:pt>
                <c:pt idx="74">
                  <c:v>-211.0353448377482</c:v>
                </c:pt>
                <c:pt idx="75">
                  <c:v>352.1459012801101</c:v>
                </c:pt>
                <c:pt idx="76">
                  <c:v>852.032220471219</c:v>
                </c:pt>
                <c:pt idx="77">
                  <c:v>1295.737215687166</c:v>
                </c:pt>
                <c:pt idx="78">
                  <c:v>1689.575004843218</c:v>
                </c:pt>
                <c:pt idx="79">
                  <c:v>2039.150073503057</c:v>
                </c:pt>
                <c:pt idx="80">
                  <c:v>2349.437029181931</c:v>
                </c:pt>
                <c:pt idx="81">
                  <c:v>2624.8513922072</c:v>
                </c:pt>
                <c:pt idx="82">
                  <c:v>2869.312430521417</c:v>
                </c:pt>
                <c:pt idx="83">
                  <c:v>3086.298932594956</c:v>
                </c:pt>
                <c:pt idx="84">
                  <c:v>3278.898712121342</c:v>
                </c:pt>
                <c:pt idx="85">
                  <c:v>3449.852548968949</c:v>
                </c:pt>
                <c:pt idx="86">
                  <c:v>3601.593191688191</c:v>
                </c:pt>
                <c:pt idx="87">
                  <c:v>3736.279976597113</c:v>
                </c:pt>
                <c:pt idx="88">
                  <c:v>3855.829556090242</c:v>
                </c:pt>
                <c:pt idx="89">
                  <c:v>3961.943173448087</c:v>
                </c:pt>
                <c:pt idx="90">
                  <c:v>4056.130872279888</c:v>
                </c:pt>
                <c:pt idx="91">
                  <c:v>4139.732985110641</c:v>
                </c:pt>
                <c:pt idx="92">
                  <c:v>4213.939206904502</c:v>
                </c:pt>
                <c:pt idx="93">
                  <c:v>4279.805524949208</c:v>
                </c:pt>
                <c:pt idx="94">
                  <c:v>4338.269246021248</c:v>
                </c:pt>
                <c:pt idx="95">
                  <c:v>4390.16233467499</c:v>
                </c:pt>
                <c:pt idx="96">
                  <c:v>4436.223252465471</c:v>
                </c:pt>
                <c:pt idx="97">
                  <c:v>4477.107466582272</c:v>
                </c:pt>
                <c:pt idx="98">
                  <c:v>4513.396777436901</c:v>
                </c:pt>
                <c:pt idx="99">
                  <c:v>4545.607597939446</c:v>
                </c:pt>
                <c:pt idx="100">
                  <c:v>4574.198302282207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6710200"/>
        <c:axId val="2046713144"/>
      </c:lineChart>
      <c:catAx>
        <c:axId val="20467102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46713144"/>
        <c:crosses val="autoZero"/>
        <c:auto val="1"/>
        <c:lblAlgn val="ctr"/>
        <c:lblOffset val="100"/>
        <c:noMultiLvlLbl val="0"/>
      </c:catAx>
      <c:valAx>
        <c:axId val="2046713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2046710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6.3'!$B$14</c:f>
              <c:strCache>
                <c:ptCount val="1"/>
                <c:pt idx="0">
                  <c:v>qe(k) [m3/s]</c:v>
                </c:pt>
              </c:strCache>
            </c:strRef>
          </c:tx>
          <c:val>
            <c:numRef>
              <c:f>'Aufgabe 6.3'!$B$16:$B$100</c:f>
              <c:numCache>
                <c:formatCode>0.00</c:formatCode>
                <c:ptCount val="85"/>
                <c:pt idx="0">
                  <c:v>0.0</c:v>
                </c:pt>
                <c:pt idx="1">
                  <c:v>0.2</c:v>
                </c:pt>
                <c:pt idx="2">
                  <c:v>0.18</c:v>
                </c:pt>
                <c:pt idx="3">
                  <c:v>0.162</c:v>
                </c:pt>
                <c:pt idx="4">
                  <c:v>0.1458</c:v>
                </c:pt>
                <c:pt idx="5">
                  <c:v>0.13122</c:v>
                </c:pt>
                <c:pt idx="6">
                  <c:v>0.118098</c:v>
                </c:pt>
                <c:pt idx="7">
                  <c:v>0.1062882</c:v>
                </c:pt>
                <c:pt idx="8">
                  <c:v>0.0956593799999999</c:v>
                </c:pt>
                <c:pt idx="9">
                  <c:v>0.0860934419999999</c:v>
                </c:pt>
                <c:pt idx="10">
                  <c:v>0.0774840977999999</c:v>
                </c:pt>
                <c:pt idx="11">
                  <c:v>0.0697356880199998</c:v>
                </c:pt>
                <c:pt idx="12">
                  <c:v>0.0627621192179999</c:v>
                </c:pt>
                <c:pt idx="13">
                  <c:v>0.0564859072961999</c:v>
                </c:pt>
                <c:pt idx="14">
                  <c:v>0.05083731656658</c:v>
                </c:pt>
                <c:pt idx="15">
                  <c:v>0.045753584909922</c:v>
                </c:pt>
                <c:pt idx="16">
                  <c:v>0.0411782264189298</c:v>
                </c:pt>
                <c:pt idx="17">
                  <c:v>0.0370604037770368</c:v>
                </c:pt>
                <c:pt idx="18">
                  <c:v>0.0333543633993331</c:v>
                </c:pt>
                <c:pt idx="19">
                  <c:v>0.0300189270593998</c:v>
                </c:pt>
                <c:pt idx="20">
                  <c:v>0.0270170343534598</c:v>
                </c:pt>
                <c:pt idx="21">
                  <c:v>0.0243153309181139</c:v>
                </c:pt>
                <c:pt idx="22">
                  <c:v>0.0218837978263024</c:v>
                </c:pt>
                <c:pt idx="23">
                  <c:v>0.0196954180436722</c:v>
                </c:pt>
                <c:pt idx="24">
                  <c:v>0.017725876239305</c:v>
                </c:pt>
                <c:pt idx="25">
                  <c:v>0.0159532886153745</c:v>
                </c:pt>
                <c:pt idx="26">
                  <c:v>0.014357959753837</c:v>
                </c:pt>
                <c:pt idx="27">
                  <c:v>0.0129221637784533</c:v>
                </c:pt>
                <c:pt idx="28">
                  <c:v>0.011629947400608</c:v>
                </c:pt>
                <c:pt idx="29">
                  <c:v>0.0104669526605472</c:v>
                </c:pt>
                <c:pt idx="30">
                  <c:v>0.00942025739449248</c:v>
                </c:pt>
                <c:pt idx="31">
                  <c:v>0.00847823165504324</c:v>
                </c:pt>
                <c:pt idx="32">
                  <c:v>0.00763040848953888</c:v>
                </c:pt>
                <c:pt idx="33">
                  <c:v>0.00686736764058504</c:v>
                </c:pt>
                <c:pt idx="34">
                  <c:v>0.00618063087652654</c:v>
                </c:pt>
                <c:pt idx="35">
                  <c:v>0.00556256778887387</c:v>
                </c:pt>
                <c:pt idx="36">
                  <c:v>0.0050063110099865</c:v>
                </c:pt>
                <c:pt idx="37">
                  <c:v>0.00450567990898787</c:v>
                </c:pt>
                <c:pt idx="38">
                  <c:v>0.00405511191808905</c:v>
                </c:pt>
                <c:pt idx="39">
                  <c:v>0.00364960072628018</c:v>
                </c:pt>
                <c:pt idx="40">
                  <c:v>0.00328464065365219</c:v>
                </c:pt>
                <c:pt idx="41">
                  <c:v>0.042956176588287</c:v>
                </c:pt>
                <c:pt idx="42">
                  <c:v>0.0786605589294583</c:v>
                </c:pt>
                <c:pt idx="43">
                  <c:v>0.110794503036512</c:v>
                </c:pt>
                <c:pt idx="44">
                  <c:v>0.139715052732861</c:v>
                </c:pt>
                <c:pt idx="45">
                  <c:v>0.165743547459575</c:v>
                </c:pt>
                <c:pt idx="46">
                  <c:v>0.189169192713618</c:v>
                </c:pt>
                <c:pt idx="47">
                  <c:v>0.210252273442256</c:v>
                </c:pt>
                <c:pt idx="48">
                  <c:v>0.22922704609803</c:v>
                </c:pt>
                <c:pt idx="49">
                  <c:v>0.246304341488227</c:v>
                </c:pt>
                <c:pt idx="50">
                  <c:v>0.261673907339405</c:v>
                </c:pt>
                <c:pt idx="51">
                  <c:v>0.275506516605464</c:v>
                </c:pt>
                <c:pt idx="52">
                  <c:v>0.287955864944918</c:v>
                </c:pt>
                <c:pt idx="53">
                  <c:v>0.299160278450426</c:v>
                </c:pt>
                <c:pt idx="54">
                  <c:v>0.309244250605383</c:v>
                </c:pt>
                <c:pt idx="55">
                  <c:v>0.318319825544845</c:v>
                </c:pt>
                <c:pt idx="56">
                  <c:v>0.326487842990361</c:v>
                </c:pt>
                <c:pt idx="57">
                  <c:v>0.333839058691325</c:v>
                </c:pt>
                <c:pt idx="58">
                  <c:v>0.340455152822192</c:v>
                </c:pt>
                <c:pt idx="59">
                  <c:v>0.346409637539973</c:v>
                </c:pt>
                <c:pt idx="60">
                  <c:v>0.351768673785976</c:v>
                </c:pt>
                <c:pt idx="61">
                  <c:v>0.356591806407378</c:v>
                </c:pt>
                <c:pt idx="62">
                  <c:v>0.36093262576664</c:v>
                </c:pt>
                <c:pt idx="63">
                  <c:v>0.364839363189977</c:v>
                </c:pt>
                <c:pt idx="64">
                  <c:v>0.368355426870979</c:v>
                </c:pt>
                <c:pt idx="65">
                  <c:v>0.371519884183881</c:v>
                </c:pt>
                <c:pt idx="66">
                  <c:v>0.374367895765493</c:v>
                </c:pt>
                <c:pt idx="67">
                  <c:v>0.376931106188944</c:v>
                </c:pt>
                <c:pt idx="68">
                  <c:v>0.37923799557005</c:v>
                </c:pt>
                <c:pt idx="69">
                  <c:v>0.381314196013045</c:v>
                </c:pt>
                <c:pt idx="70">
                  <c:v>0.38318277641174</c:v>
                </c:pt>
                <c:pt idx="71">
                  <c:v>0.384864498770566</c:v>
                </c:pt>
                <c:pt idx="72">
                  <c:v>0.38637804889351</c:v>
                </c:pt>
                <c:pt idx="73">
                  <c:v>0.387740244004159</c:v>
                </c:pt>
                <c:pt idx="74">
                  <c:v>0.388966219603743</c:v>
                </c:pt>
                <c:pt idx="75">
                  <c:v>0.390069597643369</c:v>
                </c:pt>
                <c:pt idx="76">
                  <c:v>0.391062637879032</c:v>
                </c:pt>
                <c:pt idx="77">
                  <c:v>0.391956374091129</c:v>
                </c:pt>
                <c:pt idx="78">
                  <c:v>0.392760736682016</c:v>
                </c:pt>
                <c:pt idx="79">
                  <c:v>0.393484663013814</c:v>
                </c:pt>
                <c:pt idx="80">
                  <c:v>0.394136196712433</c:v>
                </c:pt>
                <c:pt idx="81">
                  <c:v>0.39472257704119</c:v>
                </c:pt>
                <c:pt idx="82">
                  <c:v>0.395250319337071</c:v>
                </c:pt>
                <c:pt idx="83">
                  <c:v>0.395725287403364</c:v>
                </c:pt>
                <c:pt idx="84">
                  <c:v>0.396152758663027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6.3'!$C$14</c:f>
              <c:strCache>
                <c:ptCount val="1"/>
                <c:pt idx="0">
                  <c:v>qa(k) [m3/s]</c:v>
                </c:pt>
              </c:strCache>
            </c:strRef>
          </c:tx>
          <c:val>
            <c:numRef>
              <c:f>'Aufgabe 6.3'!$C$16:$C$100</c:f>
              <c:numCache>
                <c:formatCode>0.00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0.4</c:v>
                </c:pt>
                <c:pt idx="41">
                  <c:v>0.4</c:v>
                </c:pt>
                <c:pt idx="42">
                  <c:v>0.4</c:v>
                </c:pt>
                <c:pt idx="43">
                  <c:v>0.4</c:v>
                </c:pt>
                <c:pt idx="44">
                  <c:v>0.4</c:v>
                </c:pt>
                <c:pt idx="45">
                  <c:v>0.4</c:v>
                </c:pt>
                <c:pt idx="46">
                  <c:v>0.4</c:v>
                </c:pt>
                <c:pt idx="47">
                  <c:v>0.4</c:v>
                </c:pt>
                <c:pt idx="48">
                  <c:v>0.4</c:v>
                </c:pt>
                <c:pt idx="49">
                  <c:v>0.4</c:v>
                </c:pt>
                <c:pt idx="50">
                  <c:v>0.4</c:v>
                </c:pt>
                <c:pt idx="51">
                  <c:v>0.4</c:v>
                </c:pt>
                <c:pt idx="52">
                  <c:v>0.4</c:v>
                </c:pt>
                <c:pt idx="53">
                  <c:v>0.4</c:v>
                </c:pt>
                <c:pt idx="54">
                  <c:v>0.4</c:v>
                </c:pt>
                <c:pt idx="55">
                  <c:v>0.4</c:v>
                </c:pt>
                <c:pt idx="56">
                  <c:v>0.4</c:v>
                </c:pt>
                <c:pt idx="57">
                  <c:v>0.4</c:v>
                </c:pt>
                <c:pt idx="58">
                  <c:v>0.4</c:v>
                </c:pt>
                <c:pt idx="59">
                  <c:v>0.4</c:v>
                </c:pt>
                <c:pt idx="60">
                  <c:v>0.4</c:v>
                </c:pt>
                <c:pt idx="61">
                  <c:v>0.4</c:v>
                </c:pt>
                <c:pt idx="62">
                  <c:v>0.4</c:v>
                </c:pt>
                <c:pt idx="63">
                  <c:v>0.4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</c:v>
                </c:pt>
                <c:pt idx="74">
                  <c:v>0.4</c:v>
                </c:pt>
                <c:pt idx="75">
                  <c:v>0.4</c:v>
                </c:pt>
                <c:pt idx="76">
                  <c:v>0.4</c:v>
                </c:pt>
                <c:pt idx="77">
                  <c:v>0.4</c:v>
                </c:pt>
                <c:pt idx="78">
                  <c:v>0.4</c:v>
                </c:pt>
                <c:pt idx="79">
                  <c:v>0.4</c:v>
                </c:pt>
                <c:pt idx="80">
                  <c:v>0.4</c:v>
                </c:pt>
                <c:pt idx="81">
                  <c:v>0.4</c:v>
                </c:pt>
                <c:pt idx="82">
                  <c:v>0.4</c:v>
                </c:pt>
                <c:pt idx="83">
                  <c:v>0.4</c:v>
                </c:pt>
                <c:pt idx="84">
                  <c:v>0.4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'Aufgabe 6.3'!$D$14</c:f>
              <c:strCache>
                <c:ptCount val="1"/>
                <c:pt idx="0">
                  <c:v>h(k) [m]</c:v>
                </c:pt>
              </c:strCache>
            </c:strRef>
          </c:tx>
          <c:val>
            <c:numRef>
              <c:f>'Aufgabe 6.3'!$D$16:$D$100</c:f>
              <c:numCache>
                <c:formatCode>0.00</c:formatCode>
                <c:ptCount val="85"/>
                <c:pt idx="0">
                  <c:v>0.8</c:v>
                </c:pt>
                <c:pt idx="1">
                  <c:v>0.82</c:v>
                </c:pt>
                <c:pt idx="2">
                  <c:v>0.838</c:v>
                </c:pt>
                <c:pt idx="3">
                  <c:v>0.8542</c:v>
                </c:pt>
                <c:pt idx="4">
                  <c:v>0.86878</c:v>
                </c:pt>
                <c:pt idx="5">
                  <c:v>0.881902</c:v>
                </c:pt>
                <c:pt idx="6">
                  <c:v>0.8937118</c:v>
                </c:pt>
                <c:pt idx="7">
                  <c:v>0.90434062</c:v>
                </c:pt>
                <c:pt idx="8">
                  <c:v>0.913906558</c:v>
                </c:pt>
                <c:pt idx="9">
                  <c:v>0.9225159022</c:v>
                </c:pt>
                <c:pt idx="10">
                  <c:v>0.93026431198</c:v>
                </c:pt>
                <c:pt idx="11">
                  <c:v>0.937237880782</c:v>
                </c:pt>
                <c:pt idx="12">
                  <c:v>0.9435140927038</c:v>
                </c:pt>
                <c:pt idx="13">
                  <c:v>0.94916268343342</c:v>
                </c:pt>
                <c:pt idx="14">
                  <c:v>0.954246415090078</c:v>
                </c:pt>
                <c:pt idx="15">
                  <c:v>0.95882177358107</c:v>
                </c:pt>
                <c:pt idx="16">
                  <c:v>0.962939596222963</c:v>
                </c:pt>
                <c:pt idx="17">
                  <c:v>0.966645636600667</c:v>
                </c:pt>
                <c:pt idx="18">
                  <c:v>0.9699810729406</c:v>
                </c:pt>
                <c:pt idx="19">
                  <c:v>0.97298296564654</c:v>
                </c:pt>
                <c:pt idx="20">
                  <c:v>0.975684669081886</c:v>
                </c:pt>
                <c:pt idx="21">
                  <c:v>0.978116202173698</c:v>
                </c:pt>
                <c:pt idx="22">
                  <c:v>0.980304581956328</c:v>
                </c:pt>
                <c:pt idx="23">
                  <c:v>0.982274123760695</c:v>
                </c:pt>
                <c:pt idx="24">
                  <c:v>0.984046711384625</c:v>
                </c:pt>
                <c:pt idx="25">
                  <c:v>0.985642040246163</c:v>
                </c:pt>
                <c:pt idx="26">
                  <c:v>0.987077836221547</c:v>
                </c:pt>
                <c:pt idx="27">
                  <c:v>0.988370052599392</c:v>
                </c:pt>
                <c:pt idx="28">
                  <c:v>0.989533047339453</c:v>
                </c:pt>
                <c:pt idx="29">
                  <c:v>0.990579742605507</c:v>
                </c:pt>
                <c:pt idx="30">
                  <c:v>0.991521768344957</c:v>
                </c:pt>
                <c:pt idx="31">
                  <c:v>0.992369591510461</c:v>
                </c:pt>
                <c:pt idx="32">
                  <c:v>0.993132632359415</c:v>
                </c:pt>
                <c:pt idx="33">
                  <c:v>0.993819369123473</c:v>
                </c:pt>
                <c:pt idx="34">
                  <c:v>0.994437432211126</c:v>
                </c:pt>
                <c:pt idx="35">
                  <c:v>0.994993688990013</c:v>
                </c:pt>
                <c:pt idx="36">
                  <c:v>0.995494320091012</c:v>
                </c:pt>
                <c:pt idx="37">
                  <c:v>0.995944888081911</c:v>
                </c:pt>
                <c:pt idx="38">
                  <c:v>0.99635039927372</c:v>
                </c:pt>
                <c:pt idx="39">
                  <c:v>0.996715359346348</c:v>
                </c:pt>
                <c:pt idx="40">
                  <c:v>0.957043823411713</c:v>
                </c:pt>
                <c:pt idx="41">
                  <c:v>0.921339441070542</c:v>
                </c:pt>
                <c:pt idx="42">
                  <c:v>0.889205496963487</c:v>
                </c:pt>
                <c:pt idx="43">
                  <c:v>0.860284947267139</c:v>
                </c:pt>
                <c:pt idx="44">
                  <c:v>0.834256452540425</c:v>
                </c:pt>
                <c:pt idx="45">
                  <c:v>0.810830807286382</c:v>
                </c:pt>
                <c:pt idx="46">
                  <c:v>0.789747726557744</c:v>
                </c:pt>
                <c:pt idx="47">
                  <c:v>0.770772953901969</c:v>
                </c:pt>
                <c:pt idx="48">
                  <c:v>0.753695658511772</c:v>
                </c:pt>
                <c:pt idx="49">
                  <c:v>0.738326092660595</c:v>
                </c:pt>
                <c:pt idx="50">
                  <c:v>0.724493483394536</c:v>
                </c:pt>
                <c:pt idx="51">
                  <c:v>0.712044135055082</c:v>
                </c:pt>
                <c:pt idx="52">
                  <c:v>0.700839721549574</c:v>
                </c:pt>
                <c:pt idx="53">
                  <c:v>0.690755749394616</c:v>
                </c:pt>
                <c:pt idx="54">
                  <c:v>0.681680174455155</c:v>
                </c:pt>
                <c:pt idx="55">
                  <c:v>0.673512157009639</c:v>
                </c:pt>
                <c:pt idx="56">
                  <c:v>0.666160941308675</c:v>
                </c:pt>
                <c:pt idx="57">
                  <c:v>0.659544847177808</c:v>
                </c:pt>
                <c:pt idx="58">
                  <c:v>0.653590362460027</c:v>
                </c:pt>
                <c:pt idx="59">
                  <c:v>0.648231326214024</c:v>
                </c:pt>
                <c:pt idx="60">
                  <c:v>0.643408193592622</c:v>
                </c:pt>
                <c:pt idx="61">
                  <c:v>0.639067374233359</c:v>
                </c:pt>
                <c:pt idx="62">
                  <c:v>0.635160636810023</c:v>
                </c:pt>
                <c:pt idx="63">
                  <c:v>0.631644573129021</c:v>
                </c:pt>
                <c:pt idx="64">
                  <c:v>0.628480115816119</c:v>
                </c:pt>
                <c:pt idx="65">
                  <c:v>0.625632104234507</c:v>
                </c:pt>
                <c:pt idx="66">
                  <c:v>0.623068893811056</c:v>
                </c:pt>
                <c:pt idx="67">
                  <c:v>0.62076200442995</c:v>
                </c:pt>
                <c:pt idx="68">
                  <c:v>0.618685803986955</c:v>
                </c:pt>
                <c:pt idx="69">
                  <c:v>0.61681722358826</c:v>
                </c:pt>
                <c:pt idx="70">
                  <c:v>0.615135501229434</c:v>
                </c:pt>
                <c:pt idx="71">
                  <c:v>0.61362195110649</c:v>
                </c:pt>
                <c:pt idx="72">
                  <c:v>0.612259755995841</c:v>
                </c:pt>
                <c:pt idx="73">
                  <c:v>0.611033780396257</c:v>
                </c:pt>
                <c:pt idx="74">
                  <c:v>0.609930402356631</c:v>
                </c:pt>
                <c:pt idx="75">
                  <c:v>0.608937362120968</c:v>
                </c:pt>
                <c:pt idx="76">
                  <c:v>0.608043625908871</c:v>
                </c:pt>
                <c:pt idx="77">
                  <c:v>0.607239263317984</c:v>
                </c:pt>
                <c:pt idx="78">
                  <c:v>0.606515336986186</c:v>
                </c:pt>
                <c:pt idx="79">
                  <c:v>0.605863803287567</c:v>
                </c:pt>
                <c:pt idx="80">
                  <c:v>0.60527742295881</c:v>
                </c:pt>
                <c:pt idx="81">
                  <c:v>0.604749680662929</c:v>
                </c:pt>
                <c:pt idx="82">
                  <c:v>0.604274712596636</c:v>
                </c:pt>
                <c:pt idx="83">
                  <c:v>0.603847241336973</c:v>
                </c:pt>
                <c:pt idx="84">
                  <c:v>0.603462517203275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775896"/>
        <c:axId val="2082778872"/>
      </c:lineChart>
      <c:catAx>
        <c:axId val="208277589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778872"/>
        <c:crosses val="autoZero"/>
        <c:auto val="1"/>
        <c:lblAlgn val="ctr"/>
        <c:lblOffset val="100"/>
        <c:noMultiLvlLbl val="0"/>
      </c:catAx>
      <c:valAx>
        <c:axId val="20827788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277589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6.3'!$C$14</c:f>
              <c:strCache>
                <c:ptCount val="1"/>
                <c:pt idx="0">
                  <c:v>qa(k) [m3/s]</c:v>
                </c:pt>
              </c:strCache>
            </c:strRef>
          </c:tx>
          <c:val>
            <c:numRef>
              <c:f>'Aufgabe 6.3'!$C$16:$C$100</c:f>
              <c:numCache>
                <c:formatCode>0.00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0.4</c:v>
                </c:pt>
                <c:pt idx="41">
                  <c:v>0.4</c:v>
                </c:pt>
                <c:pt idx="42">
                  <c:v>0.4</c:v>
                </c:pt>
                <c:pt idx="43">
                  <c:v>0.4</c:v>
                </c:pt>
                <c:pt idx="44">
                  <c:v>0.4</c:v>
                </c:pt>
                <c:pt idx="45">
                  <c:v>0.4</c:v>
                </c:pt>
                <c:pt idx="46">
                  <c:v>0.4</c:v>
                </c:pt>
                <c:pt idx="47">
                  <c:v>0.4</c:v>
                </c:pt>
                <c:pt idx="48">
                  <c:v>0.4</c:v>
                </c:pt>
                <c:pt idx="49">
                  <c:v>0.4</c:v>
                </c:pt>
                <c:pt idx="50">
                  <c:v>0.4</c:v>
                </c:pt>
                <c:pt idx="51">
                  <c:v>0.4</c:v>
                </c:pt>
                <c:pt idx="52">
                  <c:v>0.4</c:v>
                </c:pt>
                <c:pt idx="53">
                  <c:v>0.4</c:v>
                </c:pt>
                <c:pt idx="54">
                  <c:v>0.4</c:v>
                </c:pt>
                <c:pt idx="55">
                  <c:v>0.4</c:v>
                </c:pt>
                <c:pt idx="56">
                  <c:v>0.4</c:v>
                </c:pt>
                <c:pt idx="57">
                  <c:v>0.4</c:v>
                </c:pt>
                <c:pt idx="58">
                  <c:v>0.4</c:v>
                </c:pt>
                <c:pt idx="59">
                  <c:v>0.4</c:v>
                </c:pt>
                <c:pt idx="60">
                  <c:v>0.4</c:v>
                </c:pt>
                <c:pt idx="61">
                  <c:v>0.4</c:v>
                </c:pt>
                <c:pt idx="62">
                  <c:v>0.4</c:v>
                </c:pt>
                <c:pt idx="63">
                  <c:v>0.4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</c:v>
                </c:pt>
                <c:pt idx="74">
                  <c:v>0.4</c:v>
                </c:pt>
                <c:pt idx="75">
                  <c:v>0.4</c:v>
                </c:pt>
                <c:pt idx="76">
                  <c:v>0.4</c:v>
                </c:pt>
                <c:pt idx="77">
                  <c:v>0.4</c:v>
                </c:pt>
                <c:pt idx="78">
                  <c:v>0.4</c:v>
                </c:pt>
                <c:pt idx="79">
                  <c:v>0.4</c:v>
                </c:pt>
                <c:pt idx="80">
                  <c:v>0.4</c:v>
                </c:pt>
                <c:pt idx="81">
                  <c:v>0.4</c:v>
                </c:pt>
                <c:pt idx="82">
                  <c:v>0.4</c:v>
                </c:pt>
                <c:pt idx="83">
                  <c:v>0.4</c:v>
                </c:pt>
                <c:pt idx="84">
                  <c:v>0.4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'Aufgabe 6.3'!$F$14</c:f>
              <c:strCache>
                <c:ptCount val="1"/>
                <c:pt idx="0">
                  <c:v>e(k) [m]</c:v>
                </c:pt>
              </c:strCache>
            </c:strRef>
          </c:tx>
          <c:val>
            <c:numRef>
              <c:f>'Aufgabe 6.3'!$F$16:$F$100</c:f>
              <c:numCache>
                <c:formatCode>0.00</c:formatCode>
                <c:ptCount val="85"/>
                <c:pt idx="0">
                  <c:v>0.2</c:v>
                </c:pt>
                <c:pt idx="1">
                  <c:v>0.18</c:v>
                </c:pt>
                <c:pt idx="2">
                  <c:v>0.162</c:v>
                </c:pt>
                <c:pt idx="3">
                  <c:v>0.1458</c:v>
                </c:pt>
                <c:pt idx="4">
                  <c:v>0.13122</c:v>
                </c:pt>
                <c:pt idx="5">
                  <c:v>0.118098</c:v>
                </c:pt>
                <c:pt idx="6">
                  <c:v>0.1062882</c:v>
                </c:pt>
                <c:pt idx="7">
                  <c:v>0.0956593799999999</c:v>
                </c:pt>
                <c:pt idx="8">
                  <c:v>0.0860934419999999</c:v>
                </c:pt>
                <c:pt idx="9">
                  <c:v>0.0774840977999999</c:v>
                </c:pt>
                <c:pt idx="10">
                  <c:v>0.0697356880199998</c:v>
                </c:pt>
                <c:pt idx="11">
                  <c:v>0.0627621192179999</c:v>
                </c:pt>
                <c:pt idx="12">
                  <c:v>0.0564859072961999</c:v>
                </c:pt>
                <c:pt idx="13">
                  <c:v>0.05083731656658</c:v>
                </c:pt>
                <c:pt idx="14">
                  <c:v>0.045753584909922</c:v>
                </c:pt>
                <c:pt idx="15">
                  <c:v>0.0411782264189298</c:v>
                </c:pt>
                <c:pt idx="16">
                  <c:v>0.0370604037770368</c:v>
                </c:pt>
                <c:pt idx="17">
                  <c:v>0.0333543633993331</c:v>
                </c:pt>
                <c:pt idx="18">
                  <c:v>0.0300189270593998</c:v>
                </c:pt>
                <c:pt idx="19">
                  <c:v>0.0270170343534598</c:v>
                </c:pt>
                <c:pt idx="20">
                  <c:v>0.0243153309181139</c:v>
                </c:pt>
                <c:pt idx="21">
                  <c:v>0.0218837978263024</c:v>
                </c:pt>
                <c:pt idx="22">
                  <c:v>0.0196954180436722</c:v>
                </c:pt>
                <c:pt idx="23">
                  <c:v>0.017725876239305</c:v>
                </c:pt>
                <c:pt idx="24">
                  <c:v>0.0159532886153745</c:v>
                </c:pt>
                <c:pt idx="25">
                  <c:v>0.014357959753837</c:v>
                </c:pt>
                <c:pt idx="26">
                  <c:v>0.0129221637784533</c:v>
                </c:pt>
                <c:pt idx="27">
                  <c:v>0.011629947400608</c:v>
                </c:pt>
                <c:pt idx="28">
                  <c:v>0.0104669526605472</c:v>
                </c:pt>
                <c:pt idx="29">
                  <c:v>0.00942025739449248</c:v>
                </c:pt>
                <c:pt idx="30">
                  <c:v>0.00847823165504324</c:v>
                </c:pt>
                <c:pt idx="31">
                  <c:v>0.00763040848953888</c:v>
                </c:pt>
                <c:pt idx="32">
                  <c:v>0.00686736764058504</c:v>
                </c:pt>
                <c:pt idx="33">
                  <c:v>0.00618063087652654</c:v>
                </c:pt>
                <c:pt idx="34">
                  <c:v>0.00556256778887387</c:v>
                </c:pt>
                <c:pt idx="35">
                  <c:v>0.0050063110099865</c:v>
                </c:pt>
                <c:pt idx="36">
                  <c:v>0.00450567990898787</c:v>
                </c:pt>
                <c:pt idx="37">
                  <c:v>0.00405511191808905</c:v>
                </c:pt>
                <c:pt idx="38">
                  <c:v>0.00364960072628018</c:v>
                </c:pt>
                <c:pt idx="39">
                  <c:v>0.00328464065365219</c:v>
                </c:pt>
                <c:pt idx="40">
                  <c:v>0.042956176588287</c:v>
                </c:pt>
                <c:pt idx="41">
                  <c:v>0.0786605589294583</c:v>
                </c:pt>
                <c:pt idx="42">
                  <c:v>0.110794503036512</c:v>
                </c:pt>
                <c:pt idx="43">
                  <c:v>0.139715052732861</c:v>
                </c:pt>
                <c:pt idx="44">
                  <c:v>0.165743547459575</c:v>
                </c:pt>
                <c:pt idx="45">
                  <c:v>0.189169192713618</c:v>
                </c:pt>
                <c:pt idx="46">
                  <c:v>0.210252273442256</c:v>
                </c:pt>
                <c:pt idx="47">
                  <c:v>0.22922704609803</c:v>
                </c:pt>
                <c:pt idx="48">
                  <c:v>0.246304341488227</c:v>
                </c:pt>
                <c:pt idx="49">
                  <c:v>0.261673907339405</c:v>
                </c:pt>
                <c:pt idx="50">
                  <c:v>0.275506516605464</c:v>
                </c:pt>
                <c:pt idx="51">
                  <c:v>0.287955864944918</c:v>
                </c:pt>
                <c:pt idx="52">
                  <c:v>0.299160278450426</c:v>
                </c:pt>
                <c:pt idx="53">
                  <c:v>0.309244250605383</c:v>
                </c:pt>
                <c:pt idx="54">
                  <c:v>0.318319825544845</c:v>
                </c:pt>
                <c:pt idx="55">
                  <c:v>0.326487842990361</c:v>
                </c:pt>
                <c:pt idx="56">
                  <c:v>0.333839058691325</c:v>
                </c:pt>
                <c:pt idx="57">
                  <c:v>0.340455152822192</c:v>
                </c:pt>
                <c:pt idx="58">
                  <c:v>0.346409637539973</c:v>
                </c:pt>
                <c:pt idx="59">
                  <c:v>0.351768673785976</c:v>
                </c:pt>
                <c:pt idx="60">
                  <c:v>0.356591806407378</c:v>
                </c:pt>
                <c:pt idx="61">
                  <c:v>0.36093262576664</c:v>
                </c:pt>
                <c:pt idx="62">
                  <c:v>0.364839363189977</c:v>
                </c:pt>
                <c:pt idx="63">
                  <c:v>0.368355426870979</c:v>
                </c:pt>
                <c:pt idx="64">
                  <c:v>0.371519884183881</c:v>
                </c:pt>
                <c:pt idx="65">
                  <c:v>0.374367895765493</c:v>
                </c:pt>
                <c:pt idx="66">
                  <c:v>0.376931106188944</c:v>
                </c:pt>
                <c:pt idx="67">
                  <c:v>0.37923799557005</c:v>
                </c:pt>
                <c:pt idx="68">
                  <c:v>0.381314196013045</c:v>
                </c:pt>
                <c:pt idx="69">
                  <c:v>0.38318277641174</c:v>
                </c:pt>
                <c:pt idx="70">
                  <c:v>0.384864498770566</c:v>
                </c:pt>
                <c:pt idx="71">
                  <c:v>0.38637804889351</c:v>
                </c:pt>
                <c:pt idx="72">
                  <c:v>0.387740244004159</c:v>
                </c:pt>
                <c:pt idx="73">
                  <c:v>0.388966219603743</c:v>
                </c:pt>
                <c:pt idx="74">
                  <c:v>0.390069597643369</c:v>
                </c:pt>
                <c:pt idx="75">
                  <c:v>0.391062637879032</c:v>
                </c:pt>
                <c:pt idx="76">
                  <c:v>0.391956374091129</c:v>
                </c:pt>
                <c:pt idx="77">
                  <c:v>0.392760736682016</c:v>
                </c:pt>
                <c:pt idx="78">
                  <c:v>0.393484663013814</c:v>
                </c:pt>
                <c:pt idx="79">
                  <c:v>0.394136196712433</c:v>
                </c:pt>
                <c:pt idx="80">
                  <c:v>0.39472257704119</c:v>
                </c:pt>
                <c:pt idx="81">
                  <c:v>0.395250319337071</c:v>
                </c:pt>
                <c:pt idx="82">
                  <c:v>0.395725287403364</c:v>
                </c:pt>
                <c:pt idx="83">
                  <c:v>0.396152758663027</c:v>
                </c:pt>
                <c:pt idx="84">
                  <c:v>0.396537482796725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'Aufgabe 6.3'!$J$14</c:f>
              <c:strCache>
                <c:ptCount val="1"/>
                <c:pt idx="0">
                  <c:v>20* e(k)2 </c:v>
                </c:pt>
              </c:strCache>
            </c:strRef>
          </c:tx>
          <c:val>
            <c:numRef>
              <c:f>'Aufgabe 6.3'!$J$16:$J$100</c:f>
              <c:numCache>
                <c:formatCode>0.00</c:formatCode>
                <c:ptCount val="85"/>
                <c:pt idx="0">
                  <c:v>0.8</c:v>
                </c:pt>
                <c:pt idx="1">
                  <c:v>0.647999999999999</c:v>
                </c:pt>
                <c:pt idx="2">
                  <c:v>0.524879999999999</c:v>
                </c:pt>
                <c:pt idx="3">
                  <c:v>0.4251528</c:v>
                </c:pt>
                <c:pt idx="4">
                  <c:v>0.344373767999999</c:v>
                </c:pt>
                <c:pt idx="5">
                  <c:v>0.27894275208</c:v>
                </c:pt>
                <c:pt idx="6">
                  <c:v>0.2259436291848</c:v>
                </c:pt>
                <c:pt idx="7">
                  <c:v>0.183014339639688</c:v>
                </c:pt>
                <c:pt idx="8">
                  <c:v>0.148241615108147</c:v>
                </c:pt>
                <c:pt idx="9">
                  <c:v>0.120075708237599</c:v>
                </c:pt>
                <c:pt idx="10">
                  <c:v>0.097261323672455</c:v>
                </c:pt>
                <c:pt idx="11">
                  <c:v>0.0787816721746886</c:v>
                </c:pt>
                <c:pt idx="12">
                  <c:v>0.0638131544614979</c:v>
                </c:pt>
                <c:pt idx="13">
                  <c:v>0.0516886551138133</c:v>
                </c:pt>
                <c:pt idx="14">
                  <c:v>0.0418678106421888</c:v>
                </c:pt>
                <c:pt idx="15">
                  <c:v>0.0339129266201729</c:v>
                </c:pt>
                <c:pt idx="16">
                  <c:v>0.02746947056234</c:v>
                </c:pt>
                <c:pt idx="17">
                  <c:v>0.0222502711554954</c:v>
                </c:pt>
                <c:pt idx="18">
                  <c:v>0.0180227196359513</c:v>
                </c:pt>
                <c:pt idx="19">
                  <c:v>0.0145984029051206</c:v>
                </c:pt>
                <c:pt idx="20">
                  <c:v>0.0118247063531477</c:v>
                </c:pt>
                <c:pt idx="21">
                  <c:v>0.0095780121460496</c:v>
                </c:pt>
                <c:pt idx="22">
                  <c:v>0.00775818983830021</c:v>
                </c:pt>
                <c:pt idx="23">
                  <c:v>0.00628413376902315</c:v>
                </c:pt>
                <c:pt idx="24">
                  <c:v>0.00509014835290874</c:v>
                </c:pt>
                <c:pt idx="25">
                  <c:v>0.00412302016585607</c:v>
                </c:pt>
                <c:pt idx="26">
                  <c:v>0.00333964633434343</c:v>
                </c:pt>
                <c:pt idx="27">
                  <c:v>0.00270511353081816</c:v>
                </c:pt>
                <c:pt idx="28">
                  <c:v>0.00219114195996272</c:v>
                </c:pt>
                <c:pt idx="29">
                  <c:v>0.00177482498756981</c:v>
                </c:pt>
                <c:pt idx="30">
                  <c:v>0.00143760823993155</c:v>
                </c:pt>
                <c:pt idx="31">
                  <c:v>0.00116446267434454</c:v>
                </c:pt>
                <c:pt idx="32">
                  <c:v>0.000943214766219091</c:v>
                </c:pt>
                <c:pt idx="33">
                  <c:v>0.000764003960637464</c:v>
                </c:pt>
                <c:pt idx="34">
                  <c:v>0.000618843208116343</c:v>
                </c:pt>
                <c:pt idx="35">
                  <c:v>0.00050126299857424</c:v>
                </c:pt>
                <c:pt idx="36">
                  <c:v>0.000406023028845139</c:v>
                </c:pt>
                <c:pt idx="37">
                  <c:v>0.000328878653364557</c:v>
                </c:pt>
                <c:pt idx="38">
                  <c:v>0.000266391709225296</c:v>
                </c:pt>
                <c:pt idx="39">
                  <c:v>0.000215777284472494</c:v>
                </c:pt>
                <c:pt idx="40">
                  <c:v>0.0369046621416819</c:v>
                </c:pt>
                <c:pt idx="41">
                  <c:v>0.123749670621896</c:v>
                </c:pt>
                <c:pt idx="42">
                  <c:v>0.245508438062156</c:v>
                </c:pt>
                <c:pt idx="43">
                  <c:v>0.390405919202924</c:v>
                </c:pt>
                <c:pt idx="44">
                  <c:v>0.549418470489689</c:v>
                </c:pt>
                <c:pt idx="45">
                  <c:v>0.715699669438437</c:v>
                </c:pt>
                <c:pt idx="46">
                  <c:v>0.884120369752744</c:v>
                </c:pt>
                <c:pt idx="47">
                  <c:v>1.050900773256572</c:v>
                </c:pt>
                <c:pt idx="48">
                  <c:v>1.213316572718987</c:v>
                </c:pt>
                <c:pt idx="49">
                  <c:v>1.369464675645428</c:v>
                </c:pt>
                <c:pt idx="50">
                  <c:v>1.51807681384154</c:v>
                </c:pt>
                <c:pt idx="51">
                  <c:v>1.658371603123516</c:v>
                </c:pt>
                <c:pt idx="52">
                  <c:v>1.78993744405073</c:v>
                </c:pt>
                <c:pt idx="53">
                  <c:v>1.912640130649705</c:v>
                </c:pt>
                <c:pt idx="54">
                  <c:v>2.026550226698013</c:v>
                </c:pt>
                <c:pt idx="55">
                  <c:v>2.131886232409969</c:v>
                </c:pt>
                <c:pt idx="56">
                  <c:v>2.228970342158194</c:v>
                </c:pt>
                <c:pt idx="57">
                  <c:v>2.318194221663646</c:v>
                </c:pt>
                <c:pt idx="58">
                  <c:v>2.399992739611511</c:v>
                </c:pt>
                <c:pt idx="59">
                  <c:v>2.474823997142886</c:v>
                </c:pt>
                <c:pt idx="60">
                  <c:v>2.543154327937543</c:v>
                </c:pt>
                <c:pt idx="61">
                  <c:v>2.605447206856036</c:v>
                </c:pt>
                <c:pt idx="62">
                  <c:v>2.662155218657352</c:v>
                </c:pt>
                <c:pt idx="63">
                  <c:v>2.713714410106023</c:v>
                </c:pt>
                <c:pt idx="64">
                  <c:v>2.760540486880089</c:v>
                </c:pt>
                <c:pt idx="65">
                  <c:v>2.803026427597663</c:v>
                </c:pt>
                <c:pt idx="66">
                  <c:v>2.841541176256417</c:v>
                </c:pt>
                <c:pt idx="67">
                  <c:v>2.876429145679778</c:v>
                </c:pt>
                <c:pt idx="68">
                  <c:v>2.908010321621492</c:v>
                </c:pt>
                <c:pt idx="69">
                  <c:v>2.936580802772193</c:v>
                </c:pt>
                <c:pt idx="70">
                  <c:v>2.962413648278382</c:v>
                </c:pt>
                <c:pt idx="71">
                  <c:v>2.985759933335105</c:v>
                </c:pt>
                <c:pt idx="72">
                  <c:v>3.00684993640809</c:v>
                </c:pt>
                <c:pt idx="73">
                  <c:v>3.025894399856541</c:v>
                </c:pt>
                <c:pt idx="74">
                  <c:v>3.043085820113189</c:v>
                </c:pt>
                <c:pt idx="75">
                  <c:v>3.058599734898134</c:v>
                </c:pt>
                <c:pt idx="76">
                  <c:v>3.072595983813295</c:v>
                </c:pt>
                <c:pt idx="77">
                  <c:v>3.085219925579996</c:v>
                </c:pt>
                <c:pt idx="78">
                  <c:v>3.096603600541899</c:v>
                </c:pt>
                <c:pt idx="79">
                  <c:v>3.106866831178831</c:v>
                </c:pt>
                <c:pt idx="80">
                  <c:v>3.116118256520758</c:v>
                </c:pt>
                <c:pt idx="81">
                  <c:v>3.124456298721127</c:v>
                </c:pt>
                <c:pt idx="82">
                  <c:v>3.131970061809495</c:v>
                </c:pt>
                <c:pt idx="83">
                  <c:v>3.138740163926536</c:v>
                </c:pt>
                <c:pt idx="84">
                  <c:v>3.144839505255254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947160"/>
        <c:axId val="2082950136"/>
      </c:lineChart>
      <c:catAx>
        <c:axId val="2082947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950136"/>
        <c:crosses val="autoZero"/>
        <c:auto val="1"/>
        <c:lblAlgn val="ctr"/>
        <c:lblOffset val="100"/>
        <c:noMultiLvlLbl val="0"/>
      </c:catAx>
      <c:valAx>
        <c:axId val="20829501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294716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6.5'!$B$15</c:f>
              <c:strCache>
                <c:ptCount val="1"/>
                <c:pt idx="0">
                  <c:v>qe(k) [m3/s]</c:v>
                </c:pt>
              </c:strCache>
            </c:strRef>
          </c:tx>
          <c:val>
            <c:numRef>
              <c:f>'Aufgabe 6.5'!$B$17:$B$101</c:f>
              <c:numCache>
                <c:formatCode>0.00</c:formatCode>
                <c:ptCount val="85"/>
                <c:pt idx="0">
                  <c:v>0.2</c:v>
                </c:pt>
                <c:pt idx="1">
                  <c:v>0.18</c:v>
                </c:pt>
                <c:pt idx="2">
                  <c:v>0.162</c:v>
                </c:pt>
                <c:pt idx="3">
                  <c:v>0.1458</c:v>
                </c:pt>
                <c:pt idx="4">
                  <c:v>0.13122</c:v>
                </c:pt>
                <c:pt idx="5">
                  <c:v>0.118098</c:v>
                </c:pt>
                <c:pt idx="6">
                  <c:v>0.1062882</c:v>
                </c:pt>
                <c:pt idx="7">
                  <c:v>0.0956593799999999</c:v>
                </c:pt>
                <c:pt idx="8">
                  <c:v>0.0860934419999999</c:v>
                </c:pt>
                <c:pt idx="9">
                  <c:v>0.0774840977999999</c:v>
                </c:pt>
                <c:pt idx="10">
                  <c:v>0.0697356880199998</c:v>
                </c:pt>
                <c:pt idx="11">
                  <c:v>0.0627621192179999</c:v>
                </c:pt>
                <c:pt idx="12">
                  <c:v>0.0564859072961999</c:v>
                </c:pt>
                <c:pt idx="13">
                  <c:v>0.05083731656658</c:v>
                </c:pt>
                <c:pt idx="14">
                  <c:v>0.045753584909922</c:v>
                </c:pt>
                <c:pt idx="15">
                  <c:v>0.0411782264189298</c:v>
                </c:pt>
                <c:pt idx="16">
                  <c:v>0.0370604037770368</c:v>
                </c:pt>
                <c:pt idx="17">
                  <c:v>0.0333543633993331</c:v>
                </c:pt>
                <c:pt idx="18">
                  <c:v>0.0300189270593998</c:v>
                </c:pt>
                <c:pt idx="19">
                  <c:v>0.0270170343534598</c:v>
                </c:pt>
                <c:pt idx="20">
                  <c:v>0.0243153309181139</c:v>
                </c:pt>
                <c:pt idx="21">
                  <c:v>0.0218837978263024</c:v>
                </c:pt>
                <c:pt idx="22">
                  <c:v>0.0196954180436722</c:v>
                </c:pt>
                <c:pt idx="23">
                  <c:v>0.017725876239305</c:v>
                </c:pt>
                <c:pt idx="24">
                  <c:v>0.0159532886153745</c:v>
                </c:pt>
                <c:pt idx="25">
                  <c:v>0.014357959753837</c:v>
                </c:pt>
                <c:pt idx="26">
                  <c:v>0.0129221637784533</c:v>
                </c:pt>
                <c:pt idx="27">
                  <c:v>0.011629947400608</c:v>
                </c:pt>
                <c:pt idx="28">
                  <c:v>0.0104669526605472</c:v>
                </c:pt>
                <c:pt idx="29">
                  <c:v>0.00942025739449248</c:v>
                </c:pt>
                <c:pt idx="30">
                  <c:v>0.00847823165504324</c:v>
                </c:pt>
                <c:pt idx="31">
                  <c:v>0.00763040848953888</c:v>
                </c:pt>
                <c:pt idx="32">
                  <c:v>0.00686736764058504</c:v>
                </c:pt>
                <c:pt idx="33">
                  <c:v>0.00618063087652654</c:v>
                </c:pt>
                <c:pt idx="34">
                  <c:v>0.00556256778887387</c:v>
                </c:pt>
                <c:pt idx="35">
                  <c:v>0.0050063110099865</c:v>
                </c:pt>
                <c:pt idx="36">
                  <c:v>0.00450567990898787</c:v>
                </c:pt>
                <c:pt idx="37">
                  <c:v>0.00405511191808905</c:v>
                </c:pt>
                <c:pt idx="38">
                  <c:v>0.00364960072628018</c:v>
                </c:pt>
                <c:pt idx="39">
                  <c:v>0.00328464065365219</c:v>
                </c:pt>
                <c:pt idx="40">
                  <c:v>0.00295617658828695</c:v>
                </c:pt>
                <c:pt idx="41">
                  <c:v>0.0426605589294583</c:v>
                </c:pt>
                <c:pt idx="42">
                  <c:v>0.0783945030365125</c:v>
                </c:pt>
                <c:pt idx="43">
                  <c:v>0.110555052732861</c:v>
                </c:pt>
                <c:pt idx="44">
                  <c:v>0.139499547459575</c:v>
                </c:pt>
                <c:pt idx="45">
                  <c:v>0.165549592713618</c:v>
                </c:pt>
                <c:pt idx="46">
                  <c:v>0.188994633442256</c:v>
                </c:pt>
                <c:pt idx="47">
                  <c:v>0.21009517009803</c:v>
                </c:pt>
                <c:pt idx="48">
                  <c:v>0.229085653088227</c:v>
                </c:pt>
                <c:pt idx="49">
                  <c:v>0.246177087779405</c:v>
                </c:pt>
                <c:pt idx="50">
                  <c:v>0.261559379001464</c:v>
                </c:pt>
                <c:pt idx="51">
                  <c:v>0.275403441101318</c:v>
                </c:pt>
                <c:pt idx="52">
                  <c:v>0.287863096991186</c:v>
                </c:pt>
                <c:pt idx="53">
                  <c:v>0.299076787292068</c:v>
                </c:pt>
                <c:pt idx="54">
                  <c:v>0.309169108562861</c:v>
                </c:pt>
                <c:pt idx="55">
                  <c:v>0.318252197706575</c:v>
                </c:pt>
                <c:pt idx="56">
                  <c:v>0.326426977935917</c:v>
                </c:pt>
                <c:pt idx="57">
                  <c:v>0.333784280142326</c:v>
                </c:pt>
                <c:pt idx="58">
                  <c:v>0.340405852128093</c:v>
                </c:pt>
                <c:pt idx="59">
                  <c:v>0.346365266915284</c:v>
                </c:pt>
                <c:pt idx="60">
                  <c:v>0.351728740223755</c:v>
                </c:pt>
                <c:pt idx="61">
                  <c:v>0.35655586620138</c:v>
                </c:pt>
                <c:pt idx="62">
                  <c:v>0.360900279581242</c:v>
                </c:pt>
                <c:pt idx="63">
                  <c:v>0.364810251623118</c:v>
                </c:pt>
                <c:pt idx="64">
                  <c:v>0.368329226460806</c:v>
                </c:pt>
                <c:pt idx="65">
                  <c:v>0.371496303814725</c:v>
                </c:pt>
                <c:pt idx="66">
                  <c:v>0.374346673433253</c:v>
                </c:pt>
                <c:pt idx="67">
                  <c:v>0.376912006089928</c:v>
                </c:pt>
                <c:pt idx="68">
                  <c:v>0.379220805480935</c:v>
                </c:pt>
                <c:pt idx="69">
                  <c:v>0.381298724932841</c:v>
                </c:pt>
                <c:pt idx="70">
                  <c:v>0.383168852439557</c:v>
                </c:pt>
                <c:pt idx="71">
                  <c:v>0.384851967195602</c:v>
                </c:pt>
                <c:pt idx="72">
                  <c:v>0.386366770476041</c:v>
                </c:pt>
                <c:pt idx="73">
                  <c:v>0.387730093428437</c:v>
                </c:pt>
                <c:pt idx="74">
                  <c:v>0.388957084085594</c:v>
                </c:pt>
                <c:pt idx="75">
                  <c:v>0.390061375677034</c:v>
                </c:pt>
                <c:pt idx="76">
                  <c:v>0.391055238109331</c:v>
                </c:pt>
                <c:pt idx="77">
                  <c:v>0.391949714298398</c:v>
                </c:pt>
                <c:pt idx="78">
                  <c:v>0.392754742868558</c:v>
                </c:pt>
                <c:pt idx="79">
                  <c:v>0.393479268581702</c:v>
                </c:pt>
                <c:pt idx="80">
                  <c:v>0.394131341723532</c:v>
                </c:pt>
                <c:pt idx="81">
                  <c:v>0.394718207551179</c:v>
                </c:pt>
                <c:pt idx="82">
                  <c:v>0.395246386796061</c:v>
                </c:pt>
                <c:pt idx="83">
                  <c:v>0.395721748116455</c:v>
                </c:pt>
                <c:pt idx="84">
                  <c:v>0.396149573304809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6.5'!$C$15</c:f>
              <c:strCache>
                <c:ptCount val="1"/>
                <c:pt idx="0">
                  <c:v>qa(k) [m3/s]</c:v>
                </c:pt>
              </c:strCache>
            </c:strRef>
          </c:tx>
          <c:val>
            <c:numRef>
              <c:f>'Aufgabe 6.5'!$C$17:$C$101</c:f>
              <c:numCache>
                <c:formatCode>0.00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0.4</c:v>
                </c:pt>
                <c:pt idx="41">
                  <c:v>0.4</c:v>
                </c:pt>
                <c:pt idx="42">
                  <c:v>0.4</c:v>
                </c:pt>
                <c:pt idx="43">
                  <c:v>0.4</c:v>
                </c:pt>
                <c:pt idx="44">
                  <c:v>0.4</c:v>
                </c:pt>
                <c:pt idx="45">
                  <c:v>0.4</c:v>
                </c:pt>
                <c:pt idx="46">
                  <c:v>0.4</c:v>
                </c:pt>
                <c:pt idx="47">
                  <c:v>0.4</c:v>
                </c:pt>
                <c:pt idx="48">
                  <c:v>0.4</c:v>
                </c:pt>
                <c:pt idx="49">
                  <c:v>0.4</c:v>
                </c:pt>
                <c:pt idx="50">
                  <c:v>0.4</c:v>
                </c:pt>
                <c:pt idx="51">
                  <c:v>0.4</c:v>
                </c:pt>
                <c:pt idx="52">
                  <c:v>0.4</c:v>
                </c:pt>
                <c:pt idx="53">
                  <c:v>0.4</c:v>
                </c:pt>
                <c:pt idx="54">
                  <c:v>0.4</c:v>
                </c:pt>
                <c:pt idx="55">
                  <c:v>0.4</c:v>
                </c:pt>
                <c:pt idx="56">
                  <c:v>0.4</c:v>
                </c:pt>
                <c:pt idx="57">
                  <c:v>0.4</c:v>
                </c:pt>
                <c:pt idx="58">
                  <c:v>0.4</c:v>
                </c:pt>
                <c:pt idx="59">
                  <c:v>0.4</c:v>
                </c:pt>
                <c:pt idx="60">
                  <c:v>0.4</c:v>
                </c:pt>
                <c:pt idx="61">
                  <c:v>0.4</c:v>
                </c:pt>
                <c:pt idx="62">
                  <c:v>0.4</c:v>
                </c:pt>
                <c:pt idx="63">
                  <c:v>0.4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</c:v>
                </c:pt>
                <c:pt idx="74">
                  <c:v>0.4</c:v>
                </c:pt>
                <c:pt idx="75">
                  <c:v>0.4</c:v>
                </c:pt>
                <c:pt idx="76">
                  <c:v>0.4</c:v>
                </c:pt>
                <c:pt idx="77">
                  <c:v>0.4</c:v>
                </c:pt>
                <c:pt idx="78">
                  <c:v>0.4</c:v>
                </c:pt>
                <c:pt idx="79">
                  <c:v>0.4</c:v>
                </c:pt>
                <c:pt idx="80">
                  <c:v>0.4</c:v>
                </c:pt>
                <c:pt idx="81">
                  <c:v>0.4</c:v>
                </c:pt>
                <c:pt idx="82">
                  <c:v>0.4</c:v>
                </c:pt>
                <c:pt idx="83">
                  <c:v>0.4</c:v>
                </c:pt>
                <c:pt idx="84">
                  <c:v>0.4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'Aufgabe 6.5'!$D$15</c:f>
              <c:strCache>
                <c:ptCount val="1"/>
                <c:pt idx="0">
                  <c:v>h(k) [m]</c:v>
                </c:pt>
              </c:strCache>
            </c:strRef>
          </c:tx>
          <c:val>
            <c:numRef>
              <c:f>'Aufgabe 6.5'!$D$17:$D$101</c:f>
              <c:numCache>
                <c:formatCode>0.00</c:formatCode>
                <c:ptCount val="85"/>
                <c:pt idx="0">
                  <c:v>0.82</c:v>
                </c:pt>
                <c:pt idx="1">
                  <c:v>0.838</c:v>
                </c:pt>
                <c:pt idx="2">
                  <c:v>0.8542</c:v>
                </c:pt>
                <c:pt idx="3">
                  <c:v>0.86878</c:v>
                </c:pt>
                <c:pt idx="4">
                  <c:v>0.881902</c:v>
                </c:pt>
                <c:pt idx="5">
                  <c:v>0.8937118</c:v>
                </c:pt>
                <c:pt idx="6">
                  <c:v>0.90434062</c:v>
                </c:pt>
                <c:pt idx="7">
                  <c:v>0.913906558</c:v>
                </c:pt>
                <c:pt idx="8">
                  <c:v>0.9225159022</c:v>
                </c:pt>
                <c:pt idx="9">
                  <c:v>0.93026431198</c:v>
                </c:pt>
                <c:pt idx="10">
                  <c:v>0.937237880782</c:v>
                </c:pt>
                <c:pt idx="11">
                  <c:v>0.9435140927038</c:v>
                </c:pt>
                <c:pt idx="12">
                  <c:v>0.94916268343342</c:v>
                </c:pt>
                <c:pt idx="13">
                  <c:v>0.954246415090078</c:v>
                </c:pt>
                <c:pt idx="14">
                  <c:v>0.95882177358107</c:v>
                </c:pt>
                <c:pt idx="15">
                  <c:v>0.962939596222963</c:v>
                </c:pt>
                <c:pt idx="16">
                  <c:v>0.966645636600667</c:v>
                </c:pt>
                <c:pt idx="17">
                  <c:v>0.9699810729406</c:v>
                </c:pt>
                <c:pt idx="18">
                  <c:v>0.97298296564654</c:v>
                </c:pt>
                <c:pt idx="19">
                  <c:v>0.975684669081886</c:v>
                </c:pt>
                <c:pt idx="20">
                  <c:v>0.978116202173698</c:v>
                </c:pt>
                <c:pt idx="21">
                  <c:v>0.980304581956328</c:v>
                </c:pt>
                <c:pt idx="22">
                  <c:v>0.982274123760695</c:v>
                </c:pt>
                <c:pt idx="23">
                  <c:v>0.984046711384625</c:v>
                </c:pt>
                <c:pt idx="24">
                  <c:v>0.985642040246163</c:v>
                </c:pt>
                <c:pt idx="25">
                  <c:v>0.987077836221547</c:v>
                </c:pt>
                <c:pt idx="26">
                  <c:v>0.988370052599392</c:v>
                </c:pt>
                <c:pt idx="27">
                  <c:v>0.989533047339453</c:v>
                </c:pt>
                <c:pt idx="28">
                  <c:v>0.990579742605507</c:v>
                </c:pt>
                <c:pt idx="29">
                  <c:v>0.991521768344957</c:v>
                </c:pt>
                <c:pt idx="30">
                  <c:v>0.992369591510461</c:v>
                </c:pt>
                <c:pt idx="31">
                  <c:v>0.993132632359415</c:v>
                </c:pt>
                <c:pt idx="32">
                  <c:v>0.993819369123473</c:v>
                </c:pt>
                <c:pt idx="33">
                  <c:v>0.994437432211126</c:v>
                </c:pt>
                <c:pt idx="34">
                  <c:v>0.994993688990013</c:v>
                </c:pt>
                <c:pt idx="35">
                  <c:v>0.995494320091012</c:v>
                </c:pt>
                <c:pt idx="36">
                  <c:v>0.995944888081911</c:v>
                </c:pt>
                <c:pt idx="37">
                  <c:v>0.99635039927372</c:v>
                </c:pt>
                <c:pt idx="38">
                  <c:v>0.996715359346348</c:v>
                </c:pt>
                <c:pt idx="39">
                  <c:v>0.997043823411713</c:v>
                </c:pt>
                <c:pt idx="40">
                  <c:v>0.957339441070542</c:v>
                </c:pt>
                <c:pt idx="41">
                  <c:v>0.921605496963487</c:v>
                </c:pt>
                <c:pt idx="42">
                  <c:v>0.889444947267139</c:v>
                </c:pt>
                <c:pt idx="43">
                  <c:v>0.860500452540425</c:v>
                </c:pt>
                <c:pt idx="44">
                  <c:v>0.834450407286382</c:v>
                </c:pt>
                <c:pt idx="45">
                  <c:v>0.811005366557744</c:v>
                </c:pt>
                <c:pt idx="46">
                  <c:v>0.789904829901969</c:v>
                </c:pt>
                <c:pt idx="47">
                  <c:v>0.770914346911772</c:v>
                </c:pt>
                <c:pt idx="48">
                  <c:v>0.753822912220595</c:v>
                </c:pt>
                <c:pt idx="49">
                  <c:v>0.738440620998536</c:v>
                </c:pt>
                <c:pt idx="50">
                  <c:v>0.724596558898682</c:v>
                </c:pt>
                <c:pt idx="51">
                  <c:v>0.712136903008814</c:v>
                </c:pt>
                <c:pt idx="52">
                  <c:v>0.700923212707932</c:v>
                </c:pt>
                <c:pt idx="53">
                  <c:v>0.690830891437139</c:v>
                </c:pt>
                <c:pt idx="54">
                  <c:v>0.681747802293425</c:v>
                </c:pt>
                <c:pt idx="55">
                  <c:v>0.673573022064083</c:v>
                </c:pt>
                <c:pt idx="56">
                  <c:v>0.666215719857674</c:v>
                </c:pt>
                <c:pt idx="57">
                  <c:v>0.659594147871907</c:v>
                </c:pt>
                <c:pt idx="58">
                  <c:v>0.653634733084716</c:v>
                </c:pt>
                <c:pt idx="59">
                  <c:v>0.648271259776244</c:v>
                </c:pt>
                <c:pt idx="60">
                  <c:v>0.64344413379862</c:v>
                </c:pt>
                <c:pt idx="61">
                  <c:v>0.639099720418758</c:v>
                </c:pt>
                <c:pt idx="62">
                  <c:v>0.635189748376882</c:v>
                </c:pt>
                <c:pt idx="63">
                  <c:v>0.631670773539194</c:v>
                </c:pt>
                <c:pt idx="64">
                  <c:v>0.628503696185274</c:v>
                </c:pt>
                <c:pt idx="65">
                  <c:v>0.625653326566747</c:v>
                </c:pt>
                <c:pt idx="66">
                  <c:v>0.623087993910072</c:v>
                </c:pt>
                <c:pt idx="67">
                  <c:v>0.620779194519065</c:v>
                </c:pt>
                <c:pt idx="68">
                  <c:v>0.618701275067158</c:v>
                </c:pt>
                <c:pt idx="69">
                  <c:v>0.616831147560443</c:v>
                </c:pt>
                <c:pt idx="70">
                  <c:v>0.615148032804398</c:v>
                </c:pt>
                <c:pt idx="71">
                  <c:v>0.613633229523958</c:v>
                </c:pt>
                <c:pt idx="72">
                  <c:v>0.612269906571563</c:v>
                </c:pt>
                <c:pt idx="73">
                  <c:v>0.611042915914406</c:v>
                </c:pt>
                <c:pt idx="74">
                  <c:v>0.609938624322966</c:v>
                </c:pt>
                <c:pt idx="75">
                  <c:v>0.608944761890669</c:v>
                </c:pt>
                <c:pt idx="76">
                  <c:v>0.608050285701602</c:v>
                </c:pt>
                <c:pt idx="77">
                  <c:v>0.607245257131442</c:v>
                </c:pt>
                <c:pt idx="78">
                  <c:v>0.606520731418298</c:v>
                </c:pt>
                <c:pt idx="79">
                  <c:v>0.605868658276468</c:v>
                </c:pt>
                <c:pt idx="80">
                  <c:v>0.605281792448821</c:v>
                </c:pt>
                <c:pt idx="81">
                  <c:v>0.604753613203939</c:v>
                </c:pt>
                <c:pt idx="82">
                  <c:v>0.604278251883545</c:v>
                </c:pt>
                <c:pt idx="83">
                  <c:v>0.60385042669519</c:v>
                </c:pt>
                <c:pt idx="84">
                  <c:v>0.603465384025671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114744"/>
        <c:axId val="2071107016"/>
      </c:lineChart>
      <c:catAx>
        <c:axId val="20711147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107016"/>
        <c:crosses val="autoZero"/>
        <c:auto val="1"/>
        <c:lblAlgn val="ctr"/>
        <c:lblOffset val="100"/>
        <c:noMultiLvlLbl val="0"/>
      </c:catAx>
      <c:valAx>
        <c:axId val="207110701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11147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6.5'!$C$15</c:f>
              <c:strCache>
                <c:ptCount val="1"/>
                <c:pt idx="0">
                  <c:v>qa(k) [m3/s]</c:v>
                </c:pt>
              </c:strCache>
            </c:strRef>
          </c:tx>
          <c:val>
            <c:numRef>
              <c:f>'Aufgabe 6.5'!$C$17:$C$101</c:f>
              <c:numCache>
                <c:formatCode>0.00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0.4</c:v>
                </c:pt>
                <c:pt idx="41">
                  <c:v>0.4</c:v>
                </c:pt>
                <c:pt idx="42">
                  <c:v>0.4</c:v>
                </c:pt>
                <c:pt idx="43">
                  <c:v>0.4</c:v>
                </c:pt>
                <c:pt idx="44">
                  <c:v>0.4</c:v>
                </c:pt>
                <c:pt idx="45">
                  <c:v>0.4</c:v>
                </c:pt>
                <c:pt idx="46">
                  <c:v>0.4</c:v>
                </c:pt>
                <c:pt idx="47">
                  <c:v>0.4</c:v>
                </c:pt>
                <c:pt idx="48">
                  <c:v>0.4</c:v>
                </c:pt>
                <c:pt idx="49">
                  <c:v>0.4</c:v>
                </c:pt>
                <c:pt idx="50">
                  <c:v>0.4</c:v>
                </c:pt>
                <c:pt idx="51">
                  <c:v>0.4</c:v>
                </c:pt>
                <c:pt idx="52">
                  <c:v>0.4</c:v>
                </c:pt>
                <c:pt idx="53">
                  <c:v>0.4</c:v>
                </c:pt>
                <c:pt idx="54">
                  <c:v>0.4</c:v>
                </c:pt>
                <c:pt idx="55">
                  <c:v>0.4</c:v>
                </c:pt>
                <c:pt idx="56">
                  <c:v>0.4</c:v>
                </c:pt>
                <c:pt idx="57">
                  <c:v>0.4</c:v>
                </c:pt>
                <c:pt idx="58">
                  <c:v>0.4</c:v>
                </c:pt>
                <c:pt idx="59">
                  <c:v>0.4</c:v>
                </c:pt>
                <c:pt idx="60">
                  <c:v>0.4</c:v>
                </c:pt>
                <c:pt idx="61">
                  <c:v>0.4</c:v>
                </c:pt>
                <c:pt idx="62">
                  <c:v>0.4</c:v>
                </c:pt>
                <c:pt idx="63">
                  <c:v>0.4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</c:v>
                </c:pt>
                <c:pt idx="74">
                  <c:v>0.4</c:v>
                </c:pt>
                <c:pt idx="75">
                  <c:v>0.4</c:v>
                </c:pt>
                <c:pt idx="76">
                  <c:v>0.4</c:v>
                </c:pt>
                <c:pt idx="77">
                  <c:v>0.4</c:v>
                </c:pt>
                <c:pt idx="78">
                  <c:v>0.4</c:v>
                </c:pt>
                <c:pt idx="79">
                  <c:v>0.4</c:v>
                </c:pt>
                <c:pt idx="80">
                  <c:v>0.4</c:v>
                </c:pt>
                <c:pt idx="81">
                  <c:v>0.4</c:v>
                </c:pt>
                <c:pt idx="82">
                  <c:v>0.4</c:v>
                </c:pt>
                <c:pt idx="83">
                  <c:v>0.4</c:v>
                </c:pt>
                <c:pt idx="84">
                  <c:v>0.4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'Aufgabe 6.5'!$F$15</c:f>
              <c:strCache>
                <c:ptCount val="1"/>
                <c:pt idx="0">
                  <c:v>e(k) [m]</c:v>
                </c:pt>
              </c:strCache>
            </c:strRef>
          </c:tx>
          <c:val>
            <c:numRef>
              <c:f>'Aufgabe 6.5'!$F$17:$F$101</c:f>
              <c:numCache>
                <c:formatCode>0.00</c:formatCode>
                <c:ptCount val="85"/>
                <c:pt idx="0">
                  <c:v>0.18</c:v>
                </c:pt>
                <c:pt idx="1">
                  <c:v>0.162</c:v>
                </c:pt>
                <c:pt idx="2">
                  <c:v>0.1458</c:v>
                </c:pt>
                <c:pt idx="3">
                  <c:v>0.13122</c:v>
                </c:pt>
                <c:pt idx="4">
                  <c:v>0.118098</c:v>
                </c:pt>
                <c:pt idx="5">
                  <c:v>0.1062882</c:v>
                </c:pt>
                <c:pt idx="6">
                  <c:v>0.0956593799999999</c:v>
                </c:pt>
                <c:pt idx="7">
                  <c:v>0.0860934419999999</c:v>
                </c:pt>
                <c:pt idx="8">
                  <c:v>0.0774840977999999</c:v>
                </c:pt>
                <c:pt idx="9">
                  <c:v>0.0697356880199998</c:v>
                </c:pt>
                <c:pt idx="10">
                  <c:v>0.0627621192179999</c:v>
                </c:pt>
                <c:pt idx="11">
                  <c:v>0.0564859072961999</c:v>
                </c:pt>
                <c:pt idx="12">
                  <c:v>0.05083731656658</c:v>
                </c:pt>
                <c:pt idx="13">
                  <c:v>0.045753584909922</c:v>
                </c:pt>
                <c:pt idx="14">
                  <c:v>0.0411782264189298</c:v>
                </c:pt>
                <c:pt idx="15">
                  <c:v>0.0370604037770368</c:v>
                </c:pt>
                <c:pt idx="16">
                  <c:v>0.0333543633993331</c:v>
                </c:pt>
                <c:pt idx="17">
                  <c:v>0.0300189270593998</c:v>
                </c:pt>
                <c:pt idx="18">
                  <c:v>0.0270170343534598</c:v>
                </c:pt>
                <c:pt idx="19">
                  <c:v>0.0243153309181139</c:v>
                </c:pt>
                <c:pt idx="20">
                  <c:v>0.0218837978263024</c:v>
                </c:pt>
                <c:pt idx="21">
                  <c:v>0.0196954180436722</c:v>
                </c:pt>
                <c:pt idx="22">
                  <c:v>0.017725876239305</c:v>
                </c:pt>
                <c:pt idx="23">
                  <c:v>0.0159532886153745</c:v>
                </c:pt>
                <c:pt idx="24">
                  <c:v>0.014357959753837</c:v>
                </c:pt>
                <c:pt idx="25">
                  <c:v>0.0129221637784533</c:v>
                </c:pt>
                <c:pt idx="26">
                  <c:v>0.011629947400608</c:v>
                </c:pt>
                <c:pt idx="27">
                  <c:v>0.0104669526605472</c:v>
                </c:pt>
                <c:pt idx="28">
                  <c:v>0.00942025739449248</c:v>
                </c:pt>
                <c:pt idx="29">
                  <c:v>0.00847823165504324</c:v>
                </c:pt>
                <c:pt idx="30">
                  <c:v>0.00763040848953888</c:v>
                </c:pt>
                <c:pt idx="31">
                  <c:v>0.00686736764058504</c:v>
                </c:pt>
                <c:pt idx="32">
                  <c:v>0.00618063087652654</c:v>
                </c:pt>
                <c:pt idx="33">
                  <c:v>0.00556256778887387</c:v>
                </c:pt>
                <c:pt idx="34">
                  <c:v>0.0050063110099865</c:v>
                </c:pt>
                <c:pt idx="35">
                  <c:v>0.00450567990898787</c:v>
                </c:pt>
                <c:pt idx="36">
                  <c:v>0.00405511191808905</c:v>
                </c:pt>
                <c:pt idx="37">
                  <c:v>0.00364960072628018</c:v>
                </c:pt>
                <c:pt idx="38">
                  <c:v>0.00328464065365219</c:v>
                </c:pt>
                <c:pt idx="39">
                  <c:v>0.00295617658828695</c:v>
                </c:pt>
                <c:pt idx="40">
                  <c:v>0.0426605589294583</c:v>
                </c:pt>
                <c:pt idx="41">
                  <c:v>0.0783945030365125</c:v>
                </c:pt>
                <c:pt idx="42">
                  <c:v>0.110555052732861</c:v>
                </c:pt>
                <c:pt idx="43">
                  <c:v>0.139499547459575</c:v>
                </c:pt>
                <c:pt idx="44">
                  <c:v>0.165549592713618</c:v>
                </c:pt>
                <c:pt idx="45">
                  <c:v>0.188994633442256</c:v>
                </c:pt>
                <c:pt idx="46">
                  <c:v>0.21009517009803</c:v>
                </c:pt>
                <c:pt idx="47">
                  <c:v>0.229085653088227</c:v>
                </c:pt>
                <c:pt idx="48">
                  <c:v>0.246177087779405</c:v>
                </c:pt>
                <c:pt idx="49">
                  <c:v>0.261559379001464</c:v>
                </c:pt>
                <c:pt idx="50">
                  <c:v>0.275403441101318</c:v>
                </c:pt>
                <c:pt idx="51">
                  <c:v>0.287863096991186</c:v>
                </c:pt>
                <c:pt idx="52">
                  <c:v>0.299076787292068</c:v>
                </c:pt>
                <c:pt idx="53">
                  <c:v>0.309169108562861</c:v>
                </c:pt>
                <c:pt idx="54">
                  <c:v>0.318252197706575</c:v>
                </c:pt>
                <c:pt idx="55">
                  <c:v>0.326426977935917</c:v>
                </c:pt>
                <c:pt idx="56">
                  <c:v>0.333784280142326</c:v>
                </c:pt>
                <c:pt idx="57">
                  <c:v>0.340405852128093</c:v>
                </c:pt>
                <c:pt idx="58">
                  <c:v>0.346365266915284</c:v>
                </c:pt>
                <c:pt idx="59">
                  <c:v>0.351728740223755</c:v>
                </c:pt>
                <c:pt idx="60">
                  <c:v>0.35655586620138</c:v>
                </c:pt>
                <c:pt idx="61">
                  <c:v>0.360900279581242</c:v>
                </c:pt>
                <c:pt idx="62">
                  <c:v>0.364810251623118</c:v>
                </c:pt>
                <c:pt idx="63">
                  <c:v>0.368329226460806</c:v>
                </c:pt>
                <c:pt idx="64">
                  <c:v>0.371496303814725</c:v>
                </c:pt>
                <c:pt idx="65">
                  <c:v>0.374346673433253</c:v>
                </c:pt>
                <c:pt idx="66">
                  <c:v>0.376912006089928</c:v>
                </c:pt>
                <c:pt idx="67">
                  <c:v>0.379220805480935</c:v>
                </c:pt>
                <c:pt idx="68">
                  <c:v>0.381298724932841</c:v>
                </c:pt>
                <c:pt idx="69">
                  <c:v>0.383168852439557</c:v>
                </c:pt>
                <c:pt idx="70">
                  <c:v>0.384851967195602</c:v>
                </c:pt>
                <c:pt idx="71">
                  <c:v>0.386366770476041</c:v>
                </c:pt>
                <c:pt idx="72">
                  <c:v>0.387730093428437</c:v>
                </c:pt>
                <c:pt idx="73">
                  <c:v>0.388957084085594</c:v>
                </c:pt>
                <c:pt idx="74">
                  <c:v>0.390061375677034</c:v>
                </c:pt>
                <c:pt idx="75">
                  <c:v>0.391055238109331</c:v>
                </c:pt>
                <c:pt idx="76">
                  <c:v>0.391949714298398</c:v>
                </c:pt>
                <c:pt idx="77">
                  <c:v>0.392754742868558</c:v>
                </c:pt>
                <c:pt idx="78">
                  <c:v>0.393479268581702</c:v>
                </c:pt>
                <c:pt idx="79">
                  <c:v>0.394131341723532</c:v>
                </c:pt>
                <c:pt idx="80">
                  <c:v>0.394718207551179</c:v>
                </c:pt>
                <c:pt idx="81">
                  <c:v>0.395246386796061</c:v>
                </c:pt>
                <c:pt idx="82">
                  <c:v>0.395721748116455</c:v>
                </c:pt>
                <c:pt idx="83">
                  <c:v>0.396149573304809</c:v>
                </c:pt>
                <c:pt idx="84">
                  <c:v>0.396534615974329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'Aufgabe 6.5'!$J$15</c:f>
              <c:strCache>
                <c:ptCount val="1"/>
                <c:pt idx="0">
                  <c:v>20* e(k)2 </c:v>
                </c:pt>
              </c:strCache>
            </c:strRef>
          </c:tx>
          <c:val>
            <c:numRef>
              <c:f>'Aufgabe 6.5'!$J$17:$J$101</c:f>
              <c:numCache>
                <c:formatCode>0.00</c:formatCode>
                <c:ptCount val="85"/>
                <c:pt idx="0">
                  <c:v>0.647999999999999</c:v>
                </c:pt>
                <c:pt idx="1">
                  <c:v>0.524879999999999</c:v>
                </c:pt>
                <c:pt idx="2">
                  <c:v>0.4251528</c:v>
                </c:pt>
                <c:pt idx="3">
                  <c:v>0.344373767999999</c:v>
                </c:pt>
                <c:pt idx="4">
                  <c:v>0.27894275208</c:v>
                </c:pt>
                <c:pt idx="5">
                  <c:v>0.2259436291848</c:v>
                </c:pt>
                <c:pt idx="6">
                  <c:v>0.183014339639688</c:v>
                </c:pt>
                <c:pt idx="7">
                  <c:v>0.148241615108147</c:v>
                </c:pt>
                <c:pt idx="8">
                  <c:v>0.120075708237599</c:v>
                </c:pt>
                <c:pt idx="9">
                  <c:v>0.097261323672455</c:v>
                </c:pt>
                <c:pt idx="10">
                  <c:v>0.0787816721746886</c:v>
                </c:pt>
                <c:pt idx="11">
                  <c:v>0.0638131544614979</c:v>
                </c:pt>
                <c:pt idx="12">
                  <c:v>0.0516886551138133</c:v>
                </c:pt>
                <c:pt idx="13">
                  <c:v>0.0418678106421888</c:v>
                </c:pt>
                <c:pt idx="14">
                  <c:v>0.0339129266201729</c:v>
                </c:pt>
                <c:pt idx="15">
                  <c:v>0.02746947056234</c:v>
                </c:pt>
                <c:pt idx="16">
                  <c:v>0.0222502711554954</c:v>
                </c:pt>
                <c:pt idx="17">
                  <c:v>0.0180227196359513</c:v>
                </c:pt>
                <c:pt idx="18">
                  <c:v>0.0145984029051206</c:v>
                </c:pt>
                <c:pt idx="19">
                  <c:v>0.0118247063531477</c:v>
                </c:pt>
                <c:pt idx="20">
                  <c:v>0.0095780121460496</c:v>
                </c:pt>
                <c:pt idx="21">
                  <c:v>0.00775818983830021</c:v>
                </c:pt>
                <c:pt idx="22">
                  <c:v>0.00628413376902315</c:v>
                </c:pt>
                <c:pt idx="23">
                  <c:v>0.00509014835290874</c:v>
                </c:pt>
                <c:pt idx="24">
                  <c:v>0.00412302016585607</c:v>
                </c:pt>
                <c:pt idx="25">
                  <c:v>0.00333964633434343</c:v>
                </c:pt>
                <c:pt idx="26">
                  <c:v>0.00270511353081816</c:v>
                </c:pt>
                <c:pt idx="27">
                  <c:v>0.00219114195996272</c:v>
                </c:pt>
                <c:pt idx="28">
                  <c:v>0.00177482498756981</c:v>
                </c:pt>
                <c:pt idx="29">
                  <c:v>0.00143760823993155</c:v>
                </c:pt>
                <c:pt idx="30">
                  <c:v>0.00116446267434454</c:v>
                </c:pt>
                <c:pt idx="31">
                  <c:v>0.000943214766219091</c:v>
                </c:pt>
                <c:pt idx="32">
                  <c:v>0.000764003960637464</c:v>
                </c:pt>
                <c:pt idx="33">
                  <c:v>0.000618843208116343</c:v>
                </c:pt>
                <c:pt idx="34">
                  <c:v>0.00050126299857424</c:v>
                </c:pt>
                <c:pt idx="35">
                  <c:v>0.000406023028845139</c:v>
                </c:pt>
                <c:pt idx="36">
                  <c:v>0.000328878653364557</c:v>
                </c:pt>
                <c:pt idx="37">
                  <c:v>0.000266391709225296</c:v>
                </c:pt>
                <c:pt idx="38">
                  <c:v>0.000215777284472494</c:v>
                </c:pt>
                <c:pt idx="39">
                  <c:v>0.000174779600422718</c:v>
                </c:pt>
                <c:pt idx="40">
                  <c:v>0.0363984657634757</c:v>
                </c:pt>
                <c:pt idx="41">
                  <c:v>0.122913962126835</c:v>
                </c:pt>
                <c:pt idx="42">
                  <c:v>0.244448393695315</c:v>
                </c:pt>
                <c:pt idx="43">
                  <c:v>0.389202474828525</c:v>
                </c:pt>
                <c:pt idx="44">
                  <c:v>0.548133352952894</c:v>
                </c:pt>
                <c:pt idx="45">
                  <c:v>0.714379429399454</c:v>
                </c:pt>
                <c:pt idx="46">
                  <c:v>0.882799609970407</c:v>
                </c:pt>
                <c:pt idx="47">
                  <c:v>1.049604729017194</c:v>
                </c:pt>
                <c:pt idx="48">
                  <c:v>1.212063170950975</c:v>
                </c:pt>
                <c:pt idx="49">
                  <c:v>1.368266174872633</c:v>
                </c:pt>
                <c:pt idx="50">
                  <c:v>1.516941107408941</c:v>
                </c:pt>
                <c:pt idx="51">
                  <c:v>1.657303252187141</c:v>
                </c:pt>
                <c:pt idx="52">
                  <c:v>1.788938493938892</c:v>
                </c:pt>
                <c:pt idx="53">
                  <c:v>1.91171075379108</c:v>
                </c:pt>
                <c:pt idx="54">
                  <c:v>2.025689226901295</c:v>
                </c:pt>
                <c:pt idx="55">
                  <c:v>2.131091438487517</c:v>
                </c:pt>
                <c:pt idx="56">
                  <c:v>2.228238913402611</c:v>
                </c:pt>
                <c:pt idx="57">
                  <c:v>2.317522883261064</c:v>
                </c:pt>
                <c:pt idx="58">
                  <c:v>2.399377962505917</c:v>
                </c:pt>
                <c:pt idx="59">
                  <c:v>2.474262133987803</c:v>
                </c:pt>
                <c:pt idx="60">
                  <c:v>2.542641714452329</c:v>
                </c:pt>
                <c:pt idx="61">
                  <c:v>2.604980236036373</c:v>
                </c:pt>
                <c:pt idx="62">
                  <c:v>2.661730393786451</c:v>
                </c:pt>
                <c:pt idx="63">
                  <c:v>2.713328381304316</c:v>
                </c:pt>
                <c:pt idx="64">
                  <c:v>2.760190074960056</c:v>
                </c:pt>
                <c:pt idx="65">
                  <c:v>2.802708638210851</c:v>
                </c:pt>
                <c:pt idx="66">
                  <c:v>2.841253206694674</c:v>
                </c:pt>
                <c:pt idx="67">
                  <c:v>2.876168386192182</c:v>
                </c:pt>
                <c:pt idx="68">
                  <c:v>2.907774352708213</c:v>
                </c:pt>
                <c:pt idx="69">
                  <c:v>2.936367389596946</c:v>
                </c:pt>
                <c:pt idx="70">
                  <c:v>2.962220733086489</c:v>
                </c:pt>
                <c:pt idx="71">
                  <c:v>2.985585626561722</c:v>
                </c:pt>
                <c:pt idx="72">
                  <c:v>3.006692507000495</c:v>
                </c:pt>
                <c:pt idx="73">
                  <c:v>3.02575226520735</c:v>
                </c:pt>
                <c:pt idx="74">
                  <c:v>3.042957535901209</c:v>
                </c:pt>
                <c:pt idx="75">
                  <c:v>3.058483985054909</c:v>
                </c:pt>
                <c:pt idx="76">
                  <c:v>3.072491570771912</c:v>
                </c:pt>
                <c:pt idx="77">
                  <c:v>3.085125760914943</c:v>
                </c:pt>
                <c:pt idx="78">
                  <c:v>3.096518696071827</c:v>
                </c:pt>
                <c:pt idx="79">
                  <c:v>3.106790290575832</c:v>
                </c:pt>
                <c:pt idx="80">
                  <c:v>3.11604926744831</c:v>
                </c:pt>
                <c:pt idx="81">
                  <c:v>3.124394125506829</c:v>
                </c:pt>
                <c:pt idx="82">
                  <c:v>3.13191403864686</c:v>
                </c:pt>
                <c:pt idx="83">
                  <c:v>3.138689688591652</c:v>
                </c:pt>
                <c:pt idx="84">
                  <c:v>3.144794033318165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176776"/>
        <c:axId val="2083543000"/>
      </c:lineChart>
      <c:catAx>
        <c:axId val="2084176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543000"/>
        <c:crosses val="autoZero"/>
        <c:auto val="1"/>
        <c:lblAlgn val="ctr"/>
        <c:lblOffset val="100"/>
        <c:noMultiLvlLbl val="0"/>
      </c:catAx>
      <c:valAx>
        <c:axId val="20835430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417677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9151833538102"/>
          <c:y val="0.0601851851851852"/>
          <c:w val="0.786135195821506"/>
          <c:h val="0.822469378827647"/>
        </c:manualLayout>
      </c:layout>
      <c:lineChart>
        <c:grouping val="standard"/>
        <c:varyColors val="0"/>
        <c:ser>
          <c:idx val="3"/>
          <c:order val="0"/>
          <c:tx>
            <c:strRef>
              <c:f>'Aufgabe 6.6'!$G$8</c:f>
              <c:strCache>
                <c:ptCount val="1"/>
                <c:pt idx="0">
                  <c:v> v(k)</c:v>
                </c:pt>
              </c:strCache>
            </c:strRef>
          </c:tx>
          <c:val>
            <c:numRef>
              <c:f>'Aufgabe 6.6'!$G$10:$G$178</c:f>
              <c:numCache>
                <c:formatCode>0.00</c:formatCode>
                <c:ptCount val="169"/>
                <c:pt idx="0">
                  <c:v>3.902439024390244</c:v>
                </c:pt>
                <c:pt idx="1">
                  <c:v>7.633551457465795</c:v>
                </c:pt>
                <c:pt idx="2">
                  <c:v>11.2008589544551</c:v>
                </c:pt>
                <c:pt idx="3">
                  <c:v>14.61155295157659</c:v>
                </c:pt>
                <c:pt idx="4">
                  <c:v>17.8725091634586</c:v>
                </c:pt>
                <c:pt idx="5">
                  <c:v>20.99030144408724</c:v>
                </c:pt>
                <c:pt idx="6">
                  <c:v>23.97121503922488</c:v>
                </c:pt>
                <c:pt idx="7">
                  <c:v>26.82125925701501</c:v>
                </c:pt>
                <c:pt idx="8">
                  <c:v>29.54617958231679</c:v>
                </c:pt>
                <c:pt idx="9">
                  <c:v>32.1514692591907</c:v>
                </c:pt>
                <c:pt idx="10">
                  <c:v>34.64238036488476</c:v>
                </c:pt>
                <c:pt idx="11">
                  <c:v>37.02393439764592</c:v>
                </c:pt>
                <c:pt idx="12">
                  <c:v>39.3009323997005</c:v>
                </c:pt>
                <c:pt idx="13">
                  <c:v>41.47796463581121</c:v>
                </c:pt>
                <c:pt idx="14">
                  <c:v>43.55941984692194</c:v>
                </c:pt>
                <c:pt idx="15">
                  <c:v>45.54949409754489</c:v>
                </c:pt>
                <c:pt idx="16">
                  <c:v>47.45219923472584</c:v>
                </c:pt>
                <c:pt idx="17">
                  <c:v>49.27137097564032</c:v>
                </c:pt>
                <c:pt idx="18">
                  <c:v>51.01067664012442</c:v>
                </c:pt>
                <c:pt idx="19">
                  <c:v>52.67362254372872</c:v>
                </c:pt>
                <c:pt idx="20">
                  <c:v>54.26356106619917</c:v>
                </c:pt>
                <c:pt idx="21">
                  <c:v>55.78369740963434</c:v>
                </c:pt>
                <c:pt idx="22">
                  <c:v>57.23709605994308</c:v>
                </c:pt>
                <c:pt idx="23">
                  <c:v>58.6266869646285</c:v>
                </c:pt>
                <c:pt idx="24">
                  <c:v>59.95527143935214</c:v>
                </c:pt>
                <c:pt idx="25">
                  <c:v>61.22552781518546</c:v>
                </c:pt>
                <c:pt idx="26">
                  <c:v>62.44001683793343</c:v>
                </c:pt>
                <c:pt idx="27">
                  <c:v>63.60118683041441</c:v>
                </c:pt>
                <c:pt idx="28">
                  <c:v>64.71137862810354</c:v>
                </c:pt>
                <c:pt idx="29">
                  <c:v>65.77283029808926</c:v>
                </c:pt>
                <c:pt idx="30">
                  <c:v>66.78768165085608</c:v>
                </c:pt>
                <c:pt idx="31">
                  <c:v>67.75797855398925</c:v>
                </c:pt>
                <c:pt idx="32">
                  <c:v>68.68567705649704</c:v>
                </c:pt>
                <c:pt idx="33">
                  <c:v>69.57264733206547</c:v>
                </c:pt>
                <c:pt idx="34">
                  <c:v>70.42067744919431</c:v>
                </c:pt>
                <c:pt idx="35">
                  <c:v>71.23147697581505</c:v>
                </c:pt>
                <c:pt idx="36">
                  <c:v>72.00668042565732</c:v>
                </c:pt>
                <c:pt idx="37">
                  <c:v>72.7478505533114</c:v>
                </c:pt>
                <c:pt idx="38">
                  <c:v>73.45648150462944</c:v>
                </c:pt>
                <c:pt idx="39">
                  <c:v>74.13400182881644</c:v>
                </c:pt>
                <c:pt idx="40">
                  <c:v>74.78177735828304</c:v>
                </c:pt>
                <c:pt idx="41">
                  <c:v>75.40111396206573</c:v>
                </c:pt>
                <c:pt idx="42">
                  <c:v>75.99326017836528</c:v>
                </c:pt>
                <c:pt idx="43">
                  <c:v>76.55940973151023</c:v>
                </c:pt>
                <c:pt idx="44">
                  <c:v>77.10070393841954</c:v>
                </c:pt>
                <c:pt idx="45">
                  <c:v>77.61823400941577</c:v>
                </c:pt>
                <c:pt idx="46">
                  <c:v>78.11304324802678</c:v>
                </c:pt>
                <c:pt idx="47">
                  <c:v>78.58612915421097</c:v>
                </c:pt>
                <c:pt idx="48">
                  <c:v>79.03844543524562</c:v>
                </c:pt>
                <c:pt idx="49">
                  <c:v>79.4709039283324</c:v>
                </c:pt>
                <c:pt idx="50">
                  <c:v>79.88437643879587</c:v>
                </c:pt>
                <c:pt idx="51">
                  <c:v>80.27969649758045</c:v>
                </c:pt>
                <c:pt idx="52">
                  <c:v>80.65766104158912</c:v>
                </c:pt>
                <c:pt idx="53">
                  <c:v>81.01903202025107</c:v>
                </c:pt>
                <c:pt idx="54">
                  <c:v>81.36453793155714</c:v>
                </c:pt>
                <c:pt idx="55">
                  <c:v>81.69487529065951</c:v>
                </c:pt>
                <c:pt idx="56">
                  <c:v>82.01071003399642</c:v>
                </c:pt>
                <c:pt idx="57">
                  <c:v>82.31267886177218</c:v>
                </c:pt>
                <c:pt idx="58">
                  <c:v>82.60139052149927</c:v>
                </c:pt>
                <c:pt idx="59">
                  <c:v>82.87742703518956</c:v>
                </c:pt>
                <c:pt idx="60">
                  <c:v>83.14134487266905</c:v>
                </c:pt>
                <c:pt idx="61">
                  <c:v>83.39367607338114</c:v>
                </c:pt>
                <c:pt idx="62">
                  <c:v>83.63492931894002</c:v>
                </c:pt>
                <c:pt idx="63">
                  <c:v>83.86559095859633</c:v>
                </c:pt>
                <c:pt idx="64">
                  <c:v>84.08612598968234</c:v>
                </c:pt>
                <c:pt idx="65">
                  <c:v>84.29697899501336</c:v>
                </c:pt>
                <c:pt idx="66">
                  <c:v>84.49857503913474</c:v>
                </c:pt>
                <c:pt idx="67">
                  <c:v>84.69132052522151</c:v>
                </c:pt>
                <c:pt idx="68">
                  <c:v>84.87560401435815</c:v>
                </c:pt>
                <c:pt idx="69">
                  <c:v>85.05179700884975</c:v>
                </c:pt>
                <c:pt idx="70">
                  <c:v>85.22025470114415</c:v>
                </c:pt>
                <c:pt idx="71">
                  <c:v>85.3813166898744</c:v>
                </c:pt>
                <c:pt idx="72">
                  <c:v>85.53530766446529</c:v>
                </c:pt>
                <c:pt idx="73">
                  <c:v>85.68253805968389</c:v>
                </c:pt>
                <c:pt idx="74">
                  <c:v>85.82330468145388</c:v>
                </c:pt>
                <c:pt idx="75">
                  <c:v>85.95789130519493</c:v>
                </c:pt>
                <c:pt idx="76">
                  <c:v>86.0865692478937</c:v>
                </c:pt>
                <c:pt idx="77">
                  <c:v>86.20959791505935</c:v>
                </c:pt>
                <c:pt idx="78">
                  <c:v>86.3272253236665</c:v>
                </c:pt>
                <c:pt idx="79">
                  <c:v>86.43968860213968</c:v>
                </c:pt>
                <c:pt idx="80">
                  <c:v>86.5472144683872</c:v>
                </c:pt>
                <c:pt idx="81">
                  <c:v>86.65001968684828</c:v>
                </c:pt>
                <c:pt idx="82">
                  <c:v>86.74831150547446</c:v>
                </c:pt>
                <c:pt idx="83">
                  <c:v>86.8422880735268</c:v>
                </c:pt>
                <c:pt idx="84">
                  <c:v>86.93213884103051</c:v>
                </c:pt>
                <c:pt idx="85">
                  <c:v>87.0180449406926</c:v>
                </c:pt>
                <c:pt idx="86">
                  <c:v>87.10017955305244</c:v>
                </c:pt>
                <c:pt idx="87">
                  <c:v>87.17870825560136</c:v>
                </c:pt>
                <c:pt idx="88">
                  <c:v>87.25378935657497</c:v>
                </c:pt>
                <c:pt idx="89">
                  <c:v>87.3255742140912</c:v>
                </c:pt>
                <c:pt idx="90">
                  <c:v>87.39420754127745</c:v>
                </c:pt>
                <c:pt idx="91">
                  <c:v>87.45982769800185</c:v>
                </c:pt>
                <c:pt idx="92">
                  <c:v>87.52256696979691</c:v>
                </c:pt>
                <c:pt idx="93">
                  <c:v>87.58255183453754</c:v>
                </c:pt>
                <c:pt idx="94">
                  <c:v>87.63990321741151</c:v>
                </c:pt>
                <c:pt idx="95">
                  <c:v>87.69473673469589</c:v>
                </c:pt>
                <c:pt idx="96">
                  <c:v>87.7471629268312</c:v>
                </c:pt>
                <c:pt idx="97">
                  <c:v>87.797287481263</c:v>
                </c:pt>
                <c:pt idx="98">
                  <c:v>87.84521144550025</c:v>
                </c:pt>
                <c:pt idx="99">
                  <c:v>87.89103143081977</c:v>
                </c:pt>
                <c:pt idx="100">
                  <c:v>87.93483980702768</c:v>
                </c:pt>
                <c:pt idx="101">
                  <c:v>87.96471351364124</c:v>
                </c:pt>
                <c:pt idx="102">
                  <c:v>87.95753732650105</c:v>
                </c:pt>
                <c:pt idx="103">
                  <c:v>87.89209083332625</c:v>
                </c:pt>
                <c:pt idx="104">
                  <c:v>87.74952781564358</c:v>
                </c:pt>
                <c:pt idx="105">
                  <c:v>87.5137990639193</c:v>
                </c:pt>
                <c:pt idx="106">
                  <c:v>87.17200813164233</c:v>
                </c:pt>
                <c:pt idx="107">
                  <c:v>86.71469118902344</c:v>
                </c:pt>
                <c:pt idx="108">
                  <c:v>86.13601400938334</c:v>
                </c:pt>
                <c:pt idx="109">
                  <c:v>85.4338811651082</c:v>
                </c:pt>
                <c:pt idx="110">
                  <c:v>84.60995467493272</c:v>
                </c:pt>
                <c:pt idx="111">
                  <c:v>83.66958157696961</c:v>
                </c:pt>
                <c:pt idx="112">
                  <c:v>82.62163214737099</c:v>
                </c:pt>
                <c:pt idx="113">
                  <c:v>81.47825268749662</c:v>
                </c:pt>
                <c:pt idx="114">
                  <c:v>80.25453890873582</c:v>
                </c:pt>
                <c:pt idx="115">
                  <c:v>78.96813790182884</c:v>
                </c:pt>
                <c:pt idx="116">
                  <c:v>77.63878843845592</c:v>
                </c:pt>
                <c:pt idx="117">
                  <c:v>76.28781087365702</c:v>
                </c:pt>
                <c:pt idx="118">
                  <c:v>74.93755916086705</c:v>
                </c:pt>
                <c:pt idx="119">
                  <c:v>73.61084842639471</c:v>
                </c:pt>
                <c:pt idx="120">
                  <c:v>72.33037215401642</c:v>
                </c:pt>
                <c:pt idx="121">
                  <c:v>71.1181232881375</c:v>
                </c:pt>
                <c:pt idx="122">
                  <c:v>69.99483346934597</c:v>
                </c:pt>
                <c:pt idx="123">
                  <c:v>68.97944417148361</c:v>
                </c:pt>
                <c:pt idx="124">
                  <c:v>68.08862272554048</c:v>
                </c:pt>
                <c:pt idx="125">
                  <c:v>67.33633511204209</c:v>
                </c:pt>
                <c:pt idx="126">
                  <c:v>66.73348600732564</c:v>
                </c:pt>
                <c:pt idx="127">
                  <c:v>66.2876349145752</c:v>
                </c:pt>
                <c:pt idx="128">
                  <c:v>66.00279533844757</c:v>
                </c:pt>
                <c:pt idx="129">
                  <c:v>65.87932191867161</c:v>
                </c:pt>
                <c:pt idx="130">
                  <c:v>65.91388827346165</c:v>
                </c:pt>
                <c:pt idx="131">
                  <c:v>66.09955607125137</c:v>
                </c:pt>
                <c:pt idx="132">
                  <c:v>66.42593360409881</c:v>
                </c:pt>
                <c:pt idx="133">
                  <c:v>66.87941993342088</c:v>
                </c:pt>
                <c:pt idx="134">
                  <c:v>67.44352857272678</c:v>
                </c:pt>
                <c:pt idx="135">
                  <c:v>68.09928271459395</c:v>
                </c:pt>
                <c:pt idx="136">
                  <c:v>68.82567224846539</c:v>
                </c:pt>
                <c:pt idx="137">
                  <c:v>69.60016129530191</c:v>
                </c:pt>
                <c:pt idx="138">
                  <c:v>70.3992337421376</c:v>
                </c:pt>
                <c:pt idx="139">
                  <c:v>71.19896332477073</c:v>
                </c:pt>
                <c:pt idx="140">
                  <c:v>71.97559420319544</c:v>
                </c:pt>
                <c:pt idx="141">
                  <c:v>72.71812909183564</c:v>
                </c:pt>
                <c:pt idx="142">
                  <c:v>73.42806488780384</c:v>
                </c:pt>
                <c:pt idx="143">
                  <c:v>74.10683277077831</c:v>
                </c:pt>
                <c:pt idx="144">
                  <c:v>74.75580108815879</c:v>
                </c:pt>
                <c:pt idx="145">
                  <c:v>75.37627811355669</c:v>
                </c:pt>
                <c:pt idx="146">
                  <c:v>75.96951468418103</c:v>
                </c:pt>
                <c:pt idx="147">
                  <c:v>76.53670672243652</c:v>
                </c:pt>
                <c:pt idx="148">
                  <c:v>77.07899764681735</c:v>
                </c:pt>
                <c:pt idx="149">
                  <c:v>77.5974806769571</c:v>
                </c:pt>
                <c:pt idx="150">
                  <c:v>78.09320103748094</c:v>
                </c:pt>
                <c:pt idx="151">
                  <c:v>78.56715806510372</c:v>
                </c:pt>
                <c:pt idx="152">
                  <c:v>79.02030722322114</c:v>
                </c:pt>
                <c:pt idx="153">
                  <c:v>79.45356202805534</c:v>
                </c:pt>
                <c:pt idx="154">
                  <c:v>79.86779589023828</c:v>
                </c:pt>
                <c:pt idx="155">
                  <c:v>80.26384387554491</c:v>
                </c:pt>
                <c:pt idx="156">
                  <c:v>80.64250438832586</c:v>
                </c:pt>
                <c:pt idx="157">
                  <c:v>81.0045407810335</c:v>
                </c:pt>
                <c:pt idx="158">
                  <c:v>81.3506828930857</c:v>
                </c:pt>
                <c:pt idx="159">
                  <c:v>81.68162852216976</c:v>
                </c:pt>
                <c:pt idx="160">
                  <c:v>81.99804483095255</c:v>
                </c:pt>
                <c:pt idx="161">
                  <c:v>82.3005696920327</c:v>
                </c:pt>
                <c:pt idx="162">
                  <c:v>82.58981297384591</c:v>
                </c:pt>
                <c:pt idx="163">
                  <c:v>82.8663577701161</c:v>
                </c:pt>
                <c:pt idx="164">
                  <c:v>83.13076157533051</c:v>
                </c:pt>
                <c:pt idx="165">
                  <c:v>83.38355740860869</c:v>
                </c:pt>
                <c:pt idx="166">
                  <c:v>83.62525488823075</c:v>
                </c:pt>
                <c:pt idx="167">
                  <c:v>83.85634125899136</c:v>
                </c:pt>
                <c:pt idx="168">
                  <c:v>84.07728237445029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'Aufgabe 6.6'!$F$8</c:f>
              <c:strCache>
                <c:ptCount val="1"/>
                <c:pt idx="0">
                  <c:v> v(k) unger.</c:v>
                </c:pt>
              </c:strCache>
            </c:strRef>
          </c:tx>
          <c:val>
            <c:numRef>
              <c:f>'Aufgabe 6.6'!$F$10:$F$178</c:f>
              <c:numCache>
                <c:formatCode>0.00</c:formatCode>
                <c:ptCount val="169"/>
                <c:pt idx="0">
                  <c:v>3.902439024390244</c:v>
                </c:pt>
                <c:pt idx="1">
                  <c:v>7.709696609161214</c:v>
                </c:pt>
                <c:pt idx="2">
                  <c:v>11.42409425284021</c:v>
                </c:pt>
                <c:pt idx="3">
                  <c:v>15.04789683203923</c:v>
                </c:pt>
                <c:pt idx="4">
                  <c:v>18.5833139824773</c:v>
                </c:pt>
                <c:pt idx="5">
                  <c:v>22.03250144631932</c:v>
                </c:pt>
                <c:pt idx="6">
                  <c:v>25.39756238665299</c:v>
                </c:pt>
                <c:pt idx="7">
                  <c:v>28.68054866990536</c:v>
                </c:pt>
                <c:pt idx="8">
                  <c:v>31.88346211698084</c:v>
                </c:pt>
                <c:pt idx="9">
                  <c:v>35.00825572388375</c:v>
                </c:pt>
                <c:pt idx="10">
                  <c:v>38.05683485256952</c:v>
                </c:pt>
                <c:pt idx="11">
                  <c:v>41.03105839275075</c:v>
                </c:pt>
                <c:pt idx="12">
                  <c:v>43.93273989536659</c:v>
                </c:pt>
                <c:pt idx="13">
                  <c:v>46.76364867840644</c:v>
                </c:pt>
                <c:pt idx="14">
                  <c:v>49.52551090576239</c:v>
                </c:pt>
                <c:pt idx="15">
                  <c:v>52.2200106397682</c:v>
                </c:pt>
                <c:pt idx="16">
                  <c:v>54.84879086806653</c:v>
                </c:pt>
                <c:pt idx="17">
                  <c:v>57.41345450543076</c:v>
                </c:pt>
                <c:pt idx="18">
                  <c:v>59.91556537115197</c:v>
                </c:pt>
                <c:pt idx="19">
                  <c:v>62.35664914258729</c:v>
                </c:pt>
                <c:pt idx="20">
                  <c:v>64.73819428545101</c:v>
                </c:pt>
                <c:pt idx="21">
                  <c:v>67.06165296141563</c:v>
                </c:pt>
                <c:pt idx="22">
                  <c:v>69.32844191357623</c:v>
                </c:pt>
                <c:pt idx="23">
                  <c:v>71.53994333031828</c:v>
                </c:pt>
                <c:pt idx="24">
                  <c:v>73.6975056881154</c:v>
                </c:pt>
                <c:pt idx="25">
                  <c:v>75.80244457377113</c:v>
                </c:pt>
                <c:pt idx="26">
                  <c:v>77.85604348660598</c:v>
                </c:pt>
                <c:pt idx="27">
                  <c:v>79.859554621079</c:v>
                </c:pt>
                <c:pt idx="28">
                  <c:v>81.814199630321</c:v>
                </c:pt>
                <c:pt idx="29">
                  <c:v>83.72117037104489</c:v>
                </c:pt>
                <c:pt idx="30">
                  <c:v>85.5816296302877</c:v>
                </c:pt>
                <c:pt idx="31">
                  <c:v>87.39671183442704</c:v>
                </c:pt>
                <c:pt idx="32">
                  <c:v>89.16752374090442</c:v>
                </c:pt>
                <c:pt idx="33">
                  <c:v>90.8951451130775</c:v>
                </c:pt>
                <c:pt idx="34">
                  <c:v>92.5806293786122</c:v>
                </c:pt>
                <c:pt idx="35">
                  <c:v>94.22500427181678</c:v>
                </c:pt>
                <c:pt idx="36">
                  <c:v>95.82927246030907</c:v>
                </c:pt>
                <c:pt idx="37">
                  <c:v>97.3944121563991</c:v>
                </c:pt>
                <c:pt idx="38">
                  <c:v>98.9213777135601</c:v>
                </c:pt>
                <c:pt idx="39">
                  <c:v>100.4111002083513</c:v>
                </c:pt>
                <c:pt idx="40">
                  <c:v>101.8644880081476</c:v>
                </c:pt>
                <c:pt idx="41">
                  <c:v>103.2824273250221</c:v>
                </c:pt>
                <c:pt idx="42">
                  <c:v>104.6657827561191</c:v>
                </c:pt>
                <c:pt idx="43">
                  <c:v>106.0153978108479</c:v>
                </c:pt>
                <c:pt idx="44">
                  <c:v>107.3320954252175</c:v>
                </c:pt>
                <c:pt idx="45">
                  <c:v>108.6166784636269</c:v>
                </c:pt>
                <c:pt idx="46">
                  <c:v>109.8699302084164</c:v>
                </c:pt>
                <c:pt idx="47">
                  <c:v>111.0926148374795</c:v>
                </c:pt>
                <c:pt idx="48">
                  <c:v>112.2854778902239</c:v>
                </c:pt>
                <c:pt idx="49">
                  <c:v>113.4492467221697</c:v>
                </c:pt>
                <c:pt idx="50">
                  <c:v>114.5846309484582</c:v>
                </c:pt>
                <c:pt idx="51">
                  <c:v>115.6923228765446</c:v>
                </c:pt>
                <c:pt idx="52">
                  <c:v>116.7729979283362</c:v>
                </c:pt>
                <c:pt idx="53">
                  <c:v>117.8273150520353</c:v>
                </c:pt>
                <c:pt idx="54">
                  <c:v>118.8559171239369</c:v>
                </c:pt>
                <c:pt idx="55">
                  <c:v>119.8594313404263</c:v>
                </c:pt>
                <c:pt idx="56">
                  <c:v>120.8384696004159</c:v>
                </c:pt>
                <c:pt idx="57">
                  <c:v>121.7936288784545</c:v>
                </c:pt>
                <c:pt idx="58">
                  <c:v>122.7254915887361</c:v>
                </c:pt>
                <c:pt idx="59">
                  <c:v>123.6346259402304</c:v>
                </c:pt>
                <c:pt idx="60">
                  <c:v>124.5215862831516</c:v>
                </c:pt>
                <c:pt idx="61">
                  <c:v>125.3869134469772</c:v>
                </c:pt>
                <c:pt idx="62">
                  <c:v>126.2311350702217</c:v>
                </c:pt>
                <c:pt idx="63">
                  <c:v>127.0547659221675</c:v>
                </c:pt>
                <c:pt idx="64">
                  <c:v>127.8583082167488</c:v>
                </c:pt>
                <c:pt idx="65">
                  <c:v>128.6422519187793</c:v>
                </c:pt>
                <c:pt idx="66">
                  <c:v>129.4070750427115</c:v>
                </c:pt>
                <c:pt idx="67">
                  <c:v>130.1532439441088</c:v>
                </c:pt>
                <c:pt idx="68">
                  <c:v>130.8812136040086</c:v>
                </c:pt>
                <c:pt idx="69">
                  <c:v>131.5914279063498</c:v>
                </c:pt>
                <c:pt idx="70">
                  <c:v>132.284319908634</c:v>
                </c:pt>
                <c:pt idx="71">
                  <c:v>132.9603121059844</c:v>
                </c:pt>
                <c:pt idx="72">
                  <c:v>133.6198166887653</c:v>
                </c:pt>
                <c:pt idx="73">
                  <c:v>134.2632357939174</c:v>
                </c:pt>
                <c:pt idx="74">
                  <c:v>134.8909617501633</c:v>
                </c:pt>
                <c:pt idx="75">
                  <c:v>135.5033773172325</c:v>
                </c:pt>
                <c:pt idx="76">
                  <c:v>136.1008559192512</c:v>
                </c:pt>
                <c:pt idx="77">
                  <c:v>136.6837618724402</c:v>
                </c:pt>
                <c:pt idx="78">
                  <c:v>137.2524506072588</c:v>
                </c:pt>
                <c:pt idx="79">
                  <c:v>137.8072688851305</c:v>
                </c:pt>
                <c:pt idx="80">
                  <c:v>138.3485550098835</c:v>
                </c:pt>
                <c:pt idx="81">
                  <c:v>138.8766390340327</c:v>
                </c:pt>
                <c:pt idx="82">
                  <c:v>139.3918429600319</c:v>
                </c:pt>
                <c:pt idx="83">
                  <c:v>139.8944809366165</c:v>
                </c:pt>
                <c:pt idx="84">
                  <c:v>140.3848594503575</c:v>
                </c:pt>
                <c:pt idx="85">
                  <c:v>140.863277512544</c:v>
                </c:pt>
                <c:pt idx="86">
                  <c:v>141.3300268415063</c:v>
                </c:pt>
                <c:pt idx="87">
                  <c:v>141.785392040494</c:v>
                </c:pt>
                <c:pt idx="88">
                  <c:v>142.2296507712136</c:v>
                </c:pt>
                <c:pt idx="89">
                  <c:v>142.6630739231353</c:v>
                </c:pt>
                <c:pt idx="90">
                  <c:v>143.0859257786686</c:v>
                </c:pt>
                <c:pt idx="91">
                  <c:v>143.4984641743108</c:v>
                </c:pt>
                <c:pt idx="92">
                  <c:v>143.9009406578642</c:v>
                </c:pt>
                <c:pt idx="93">
                  <c:v>144.2936006418188</c:v>
                </c:pt>
                <c:pt idx="94">
                  <c:v>144.676683552994</c:v>
                </c:pt>
                <c:pt idx="95">
                  <c:v>145.0504229785307</c:v>
                </c:pt>
                <c:pt idx="96">
                  <c:v>145.4150468083226</c:v>
                </c:pt>
                <c:pt idx="97">
                  <c:v>145.7707773739733</c:v>
                </c:pt>
                <c:pt idx="98">
                  <c:v>146.1178315843642</c:v>
                </c:pt>
                <c:pt idx="99">
                  <c:v>146.4564210579163</c:v>
                </c:pt>
                <c:pt idx="100">
                  <c:v>146.7867522516257</c:v>
                </c:pt>
                <c:pt idx="101">
                  <c:v>147.0970152119228</c:v>
                </c:pt>
                <c:pt idx="102">
                  <c:v>147.3639724177736</c:v>
                </c:pt>
                <c:pt idx="103">
                  <c:v>147.5658331141092</c:v>
                </c:pt>
                <c:pt idx="104">
                  <c:v>147.6827805936431</c:v>
                </c:pt>
                <c:pt idx="105">
                  <c:v>147.6974510973948</c:v>
                </c:pt>
                <c:pt idx="106">
                  <c:v>147.5953525362803</c:v>
                </c:pt>
                <c:pt idx="107">
                  <c:v>147.3652127180682</c:v>
                </c:pt>
                <c:pt idx="108">
                  <c:v>146.9992484999445</c:v>
                </c:pt>
                <c:pt idx="109">
                  <c:v>146.4933492341315</c:v>
                </c:pt>
                <c:pt idx="110">
                  <c:v>145.8471699845185</c:v>
                </c:pt>
                <c:pt idx="111">
                  <c:v>145.0641322141252</c:v>
                </c:pt>
                <c:pt idx="112">
                  <c:v>144.1513319217075</c:v>
                </c:pt>
                <c:pt idx="113">
                  <c:v>143.1193574848468</c:v>
                </c:pt>
                <c:pt idx="114">
                  <c:v>141.982021690297</c:v>
                </c:pt>
                <c:pt idx="115">
                  <c:v>140.7560145454736</c:v>
                </c:pt>
                <c:pt idx="116">
                  <c:v>139.460485415706</c:v>
                </c:pt>
                <c:pt idx="117">
                  <c:v>138.1165647722123</c:v>
                </c:pt>
                <c:pt idx="118">
                  <c:v>136.7468373228461</c:v>
                </c:pt>
                <c:pt idx="119">
                  <c:v>135.374779494879</c:v>
                </c:pt>
                <c:pt idx="120">
                  <c:v>134.0241751169551</c:v>
                </c:pt>
                <c:pt idx="121">
                  <c:v>132.7185236842536</c:v>
                </c:pt>
                <c:pt idx="122">
                  <c:v>131.480455773618</c:v>
                </c:pt>
                <c:pt idx="123">
                  <c:v>130.3311699994436</c:v>
                </c:pt>
                <c:pt idx="124">
                  <c:v>129.2899053707987</c:v>
                </c:pt>
                <c:pt idx="125">
                  <c:v>128.373462038646</c:v>
                </c:pt>
                <c:pt idx="126">
                  <c:v>127.5957822305888</c:v>
                </c:pt>
                <c:pt idx="127">
                  <c:v>126.9676016886335</c:v>
                </c:pt>
                <c:pt idx="128">
                  <c:v>126.4961801895205</c:v>
                </c:pt>
                <c:pt idx="129">
                  <c:v>126.1851177799808</c:v>
                </c:pt>
                <c:pt idx="130">
                  <c:v>126.0342612487617</c:v>
                </c:pt>
                <c:pt idx="131">
                  <c:v>126.0397031354166</c:v>
                </c:pt>
                <c:pt idx="132">
                  <c:v>126.1938732973576</c:v>
                </c:pt>
                <c:pt idx="133">
                  <c:v>126.4857207776558</c:v>
                </c:pt>
                <c:pt idx="134">
                  <c:v>126.9009814926325</c:v>
                </c:pt>
                <c:pt idx="135">
                  <c:v>127.4225251451893</c:v>
                </c:pt>
                <c:pt idx="136">
                  <c:v>128.030772819087</c:v>
                </c:pt>
                <c:pt idx="137">
                  <c:v>128.7041749690492</c:v>
                </c:pt>
                <c:pt idx="138">
                  <c:v>129.4197380344823</c:v>
                </c:pt>
                <c:pt idx="139">
                  <c:v>130.1535867073926</c:v>
                </c:pt>
                <c:pt idx="140">
                  <c:v>130.8815480072123</c:v>
                </c:pt>
                <c:pt idx="141">
                  <c:v>131.5917541533779</c:v>
                </c:pt>
                <c:pt idx="142">
                  <c:v>132.2846381984174</c:v>
                </c:pt>
                <c:pt idx="143">
                  <c:v>132.9606226326024</c:v>
                </c:pt>
                <c:pt idx="144">
                  <c:v>133.6201196415633</c:v>
                </c:pt>
                <c:pt idx="145">
                  <c:v>134.2635313576228</c:v>
                </c:pt>
                <c:pt idx="146">
                  <c:v>134.8912501049978</c:v>
                </c:pt>
                <c:pt idx="147">
                  <c:v>135.5036586390223</c:v>
                </c:pt>
                <c:pt idx="148">
                  <c:v>136.101130379534</c:v>
                </c:pt>
                <c:pt idx="149">
                  <c:v>136.6840296385697</c:v>
                </c:pt>
                <c:pt idx="150">
                  <c:v>137.252711842507</c:v>
                </c:pt>
                <c:pt idx="151">
                  <c:v>137.8075237487874</c:v>
                </c:pt>
                <c:pt idx="152">
                  <c:v>138.3488036573535</c:v>
                </c:pt>
                <c:pt idx="153">
                  <c:v>138.8768816169303</c:v>
                </c:pt>
                <c:pt idx="154">
                  <c:v>139.3920796262735</c:v>
                </c:pt>
                <c:pt idx="155">
                  <c:v>139.8947118305107</c:v>
                </c:pt>
                <c:pt idx="156">
                  <c:v>140.3850847126934</c:v>
                </c:pt>
                <c:pt idx="157">
                  <c:v>140.8634972806765</c:v>
                </c:pt>
                <c:pt idx="158">
                  <c:v>141.3302412494405</c:v>
                </c:pt>
                <c:pt idx="159">
                  <c:v>141.7856012189663</c:v>
                </c:pt>
                <c:pt idx="160">
                  <c:v>142.2298548477721</c:v>
                </c:pt>
                <c:pt idx="161">
                  <c:v>142.6632730222167</c:v>
                </c:pt>
                <c:pt idx="162">
                  <c:v>143.0861200216748</c:v>
                </c:pt>
                <c:pt idx="163">
                  <c:v>143.4986536796827</c:v>
                </c:pt>
                <c:pt idx="164">
                  <c:v>143.901125541154</c:v>
                </c:pt>
                <c:pt idx="165">
                  <c:v>144.2937810157599</c:v>
                </c:pt>
                <c:pt idx="166">
                  <c:v>144.6768595275707</c:v>
                </c:pt>
                <c:pt idx="167">
                  <c:v>145.0505946610446</c:v>
                </c:pt>
                <c:pt idx="168">
                  <c:v>145.4152143034581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'Aufgabe 6.6'!$H$8</c:f>
              <c:strCache>
                <c:ptCount val="1"/>
                <c:pt idx="0">
                  <c:v> v'(k)</c:v>
                </c:pt>
              </c:strCache>
            </c:strRef>
          </c:tx>
          <c:val>
            <c:numRef>
              <c:f>'Aufgabe 6.6'!$H$10:$H$178</c:f>
              <c:numCache>
                <c:formatCode>0.00</c:formatCode>
                <c:ptCount val="169"/>
                <c:pt idx="0">
                  <c:v>3.902439024390244</c:v>
                </c:pt>
                <c:pt idx="1">
                  <c:v>7.633551457465795</c:v>
                </c:pt>
                <c:pt idx="2">
                  <c:v>11.2008589544551</c:v>
                </c:pt>
                <c:pt idx="3">
                  <c:v>14.61155295157659</c:v>
                </c:pt>
                <c:pt idx="4">
                  <c:v>17.8725091634586</c:v>
                </c:pt>
                <c:pt idx="5">
                  <c:v>20.99030144408724</c:v>
                </c:pt>
                <c:pt idx="6">
                  <c:v>23.97121503922488</c:v>
                </c:pt>
                <c:pt idx="7">
                  <c:v>26.82125925701501</c:v>
                </c:pt>
                <c:pt idx="8">
                  <c:v>29.54617958231679</c:v>
                </c:pt>
                <c:pt idx="9">
                  <c:v>32.1514692591907</c:v>
                </c:pt>
                <c:pt idx="10">
                  <c:v>34.64238036488476</c:v>
                </c:pt>
                <c:pt idx="11">
                  <c:v>37.02393439764592</c:v>
                </c:pt>
                <c:pt idx="12">
                  <c:v>39.3009323997005</c:v>
                </c:pt>
                <c:pt idx="13">
                  <c:v>41.47796463581121</c:v>
                </c:pt>
                <c:pt idx="14">
                  <c:v>43.55941984692194</c:v>
                </c:pt>
                <c:pt idx="15">
                  <c:v>45.54949409754489</c:v>
                </c:pt>
                <c:pt idx="16">
                  <c:v>47.45219923472584</c:v>
                </c:pt>
                <c:pt idx="17">
                  <c:v>49.27137097564032</c:v>
                </c:pt>
                <c:pt idx="18">
                  <c:v>51.01067664012442</c:v>
                </c:pt>
                <c:pt idx="19">
                  <c:v>52.67362254372872</c:v>
                </c:pt>
                <c:pt idx="20">
                  <c:v>54.26356106619917</c:v>
                </c:pt>
                <c:pt idx="21">
                  <c:v>55.78369740963434</c:v>
                </c:pt>
                <c:pt idx="22">
                  <c:v>57.23709605994308</c:v>
                </c:pt>
                <c:pt idx="23">
                  <c:v>58.6266869646285</c:v>
                </c:pt>
                <c:pt idx="24">
                  <c:v>59.95527143935214</c:v>
                </c:pt>
                <c:pt idx="25">
                  <c:v>61.22552781518546</c:v>
                </c:pt>
                <c:pt idx="26">
                  <c:v>62.44001683793343</c:v>
                </c:pt>
                <c:pt idx="27">
                  <c:v>63.60118683041441</c:v>
                </c:pt>
                <c:pt idx="28">
                  <c:v>64.71137862810354</c:v>
                </c:pt>
                <c:pt idx="29">
                  <c:v>65.77283029808926</c:v>
                </c:pt>
                <c:pt idx="30">
                  <c:v>66.78768165085608</c:v>
                </c:pt>
                <c:pt idx="31">
                  <c:v>67.75797855398925</c:v>
                </c:pt>
                <c:pt idx="32">
                  <c:v>68.68567705649704</c:v>
                </c:pt>
                <c:pt idx="33">
                  <c:v>69.57264733206547</c:v>
                </c:pt>
                <c:pt idx="34">
                  <c:v>70.42067744919431</c:v>
                </c:pt>
                <c:pt idx="35">
                  <c:v>71.23147697581505</c:v>
                </c:pt>
                <c:pt idx="36">
                  <c:v>72.00668042565732</c:v>
                </c:pt>
                <c:pt idx="37">
                  <c:v>72.7478505533114</c:v>
                </c:pt>
                <c:pt idx="38">
                  <c:v>73.45648150462944</c:v>
                </c:pt>
                <c:pt idx="39">
                  <c:v>74.13400182881644</c:v>
                </c:pt>
                <c:pt idx="40">
                  <c:v>74.78177735828304</c:v>
                </c:pt>
                <c:pt idx="41">
                  <c:v>75.40111396206573</c:v>
                </c:pt>
                <c:pt idx="42">
                  <c:v>75.99326017836528</c:v>
                </c:pt>
                <c:pt idx="43">
                  <c:v>76.55940973151023</c:v>
                </c:pt>
                <c:pt idx="44">
                  <c:v>77.10070393841954</c:v>
                </c:pt>
                <c:pt idx="45">
                  <c:v>77.61823400941577</c:v>
                </c:pt>
                <c:pt idx="46">
                  <c:v>78.11304324802678</c:v>
                </c:pt>
                <c:pt idx="47">
                  <c:v>78.58612915421097</c:v>
                </c:pt>
                <c:pt idx="48">
                  <c:v>79.03844543524562</c:v>
                </c:pt>
                <c:pt idx="49">
                  <c:v>79.4709039283324</c:v>
                </c:pt>
                <c:pt idx="50">
                  <c:v>79.88437643879587</c:v>
                </c:pt>
                <c:pt idx="51">
                  <c:v>80.27969649758045</c:v>
                </c:pt>
                <c:pt idx="52">
                  <c:v>80.65766104158912</c:v>
                </c:pt>
                <c:pt idx="53">
                  <c:v>81.01903202025107</c:v>
                </c:pt>
                <c:pt idx="54">
                  <c:v>81.36453793155714</c:v>
                </c:pt>
                <c:pt idx="55">
                  <c:v>81.69487529065951</c:v>
                </c:pt>
                <c:pt idx="56">
                  <c:v>82.01071003399642</c:v>
                </c:pt>
                <c:pt idx="57">
                  <c:v>82.31267886177218</c:v>
                </c:pt>
                <c:pt idx="58">
                  <c:v>82.60139052149927</c:v>
                </c:pt>
                <c:pt idx="59">
                  <c:v>82.87742703518956</c:v>
                </c:pt>
                <c:pt idx="60">
                  <c:v>83.14134487266905</c:v>
                </c:pt>
                <c:pt idx="61">
                  <c:v>83.39367607338114</c:v>
                </c:pt>
                <c:pt idx="62">
                  <c:v>83.63492931894002</c:v>
                </c:pt>
                <c:pt idx="63">
                  <c:v>83.86559095859633</c:v>
                </c:pt>
                <c:pt idx="64">
                  <c:v>84.08612598968234</c:v>
                </c:pt>
                <c:pt idx="65">
                  <c:v>84.29697899501336</c:v>
                </c:pt>
                <c:pt idx="66">
                  <c:v>84.49857503913474</c:v>
                </c:pt>
                <c:pt idx="67">
                  <c:v>84.69132052522151</c:v>
                </c:pt>
                <c:pt idx="68">
                  <c:v>84.87560401435815</c:v>
                </c:pt>
                <c:pt idx="69">
                  <c:v>85.05179700884975</c:v>
                </c:pt>
                <c:pt idx="70">
                  <c:v>85.22025470114415</c:v>
                </c:pt>
                <c:pt idx="71">
                  <c:v>85.3813166898744</c:v>
                </c:pt>
                <c:pt idx="72">
                  <c:v>85.53530766446529</c:v>
                </c:pt>
                <c:pt idx="73">
                  <c:v>85.68253805968389</c:v>
                </c:pt>
                <c:pt idx="74">
                  <c:v>85.82330468145388</c:v>
                </c:pt>
                <c:pt idx="75">
                  <c:v>85.95789130519493</c:v>
                </c:pt>
                <c:pt idx="76">
                  <c:v>86.0865692478937</c:v>
                </c:pt>
                <c:pt idx="77">
                  <c:v>86.20959791505935</c:v>
                </c:pt>
                <c:pt idx="78">
                  <c:v>86.3272253236665</c:v>
                </c:pt>
                <c:pt idx="79">
                  <c:v>86.43968860213968</c:v>
                </c:pt>
                <c:pt idx="80">
                  <c:v>86.5472144683872</c:v>
                </c:pt>
                <c:pt idx="81">
                  <c:v>86.65001968684828</c:v>
                </c:pt>
                <c:pt idx="82">
                  <c:v>86.74831150547446</c:v>
                </c:pt>
                <c:pt idx="83">
                  <c:v>86.8422880735268</c:v>
                </c:pt>
                <c:pt idx="84">
                  <c:v>86.93213884103051</c:v>
                </c:pt>
                <c:pt idx="85">
                  <c:v>87.0180449406926</c:v>
                </c:pt>
                <c:pt idx="86">
                  <c:v>87.10017955305244</c:v>
                </c:pt>
                <c:pt idx="87">
                  <c:v>87.17870825560136</c:v>
                </c:pt>
                <c:pt idx="88">
                  <c:v>87.25378935657497</c:v>
                </c:pt>
                <c:pt idx="89">
                  <c:v>87.3255742140912</c:v>
                </c:pt>
                <c:pt idx="90">
                  <c:v>87.39420754127745</c:v>
                </c:pt>
                <c:pt idx="91">
                  <c:v>87.45982769800185</c:v>
                </c:pt>
                <c:pt idx="92">
                  <c:v>87.52256696979691</c:v>
                </c:pt>
                <c:pt idx="93">
                  <c:v>87.58255183453754</c:v>
                </c:pt>
                <c:pt idx="94">
                  <c:v>87.63990321741151</c:v>
                </c:pt>
                <c:pt idx="95">
                  <c:v>87.69473673469589</c:v>
                </c:pt>
                <c:pt idx="96">
                  <c:v>87.7471629268312</c:v>
                </c:pt>
                <c:pt idx="97">
                  <c:v>87.797287481263</c:v>
                </c:pt>
                <c:pt idx="98">
                  <c:v>87.84521144550025</c:v>
                </c:pt>
                <c:pt idx="99">
                  <c:v>87.89103143081977</c:v>
                </c:pt>
                <c:pt idx="100">
                  <c:v>87.93483980702768</c:v>
                </c:pt>
                <c:pt idx="101">
                  <c:v>87.97672488867037</c:v>
                </c:pt>
                <c:pt idx="102">
                  <c:v>88.01677111307022</c:v>
                </c:pt>
                <c:pt idx="103">
                  <c:v>88.0550592105452</c:v>
                </c:pt>
                <c:pt idx="104">
                  <c:v>88.0916663671554</c:v>
                </c:pt>
                <c:pt idx="105">
                  <c:v>88.12666638030468</c:v>
                </c:pt>
                <c:pt idx="106">
                  <c:v>88.16012980751083</c:v>
                </c:pt>
                <c:pt idx="107">
                  <c:v>88.19212410864451</c:v>
                </c:pt>
                <c:pt idx="108">
                  <c:v>88.22271378192353</c:v>
                </c:pt>
                <c:pt idx="109">
                  <c:v>88.25196049393665</c:v>
                </c:pt>
                <c:pt idx="110">
                  <c:v>88.27992320395894</c:v>
                </c:pt>
                <c:pt idx="111">
                  <c:v>88.30665828280954</c:v>
                </c:pt>
                <c:pt idx="112">
                  <c:v>88.33221962649108</c:v>
                </c:pt>
                <c:pt idx="113">
                  <c:v>88.35665876484026</c:v>
                </c:pt>
                <c:pt idx="114">
                  <c:v>88.38002496540825</c:v>
                </c:pt>
                <c:pt idx="115">
                  <c:v>88.40236533278059</c:v>
                </c:pt>
                <c:pt idx="116">
                  <c:v>88.42372490353657</c:v>
                </c:pt>
                <c:pt idx="117">
                  <c:v>88.44414673703984</c:v>
                </c:pt>
                <c:pt idx="118">
                  <c:v>88.46367200224297</c:v>
                </c:pt>
                <c:pt idx="119">
                  <c:v>88.4823400606811</c:v>
                </c:pt>
                <c:pt idx="120">
                  <c:v>88.50018854582193</c:v>
                </c:pt>
                <c:pt idx="121">
                  <c:v>88.5172534389322</c:v>
                </c:pt>
                <c:pt idx="122">
                  <c:v>88.53356914161324</c:v>
                </c:pt>
                <c:pt idx="123">
                  <c:v>88.54916854515218</c:v>
                </c:pt>
                <c:pt idx="124">
                  <c:v>88.56408309682844</c:v>
                </c:pt>
                <c:pt idx="125">
                  <c:v>88.57834286330915</c:v>
                </c:pt>
                <c:pt idx="126">
                  <c:v>88.59197659126144</c:v>
                </c:pt>
                <c:pt idx="127">
                  <c:v>88.60501176530363</c:v>
                </c:pt>
                <c:pt idx="128">
                  <c:v>88.61747466341226</c:v>
                </c:pt>
                <c:pt idx="129">
                  <c:v>88.62939040989662</c:v>
                </c:pt>
                <c:pt idx="130">
                  <c:v>88.64078302604751</c:v>
                </c:pt>
                <c:pt idx="131">
                  <c:v>88.65167547856251</c:v>
                </c:pt>
                <c:pt idx="132">
                  <c:v>88.66208972584513</c:v>
                </c:pt>
                <c:pt idx="133">
                  <c:v>88.67204676227145</c:v>
                </c:pt>
                <c:pt idx="134">
                  <c:v>88.6815666605132</c:v>
                </c:pt>
                <c:pt idx="135">
                  <c:v>88.69066861200287</c:v>
                </c:pt>
                <c:pt idx="136">
                  <c:v>88.69937096562226</c:v>
                </c:pt>
                <c:pt idx="137">
                  <c:v>88.7076912646925</c:v>
                </c:pt>
                <c:pt idx="138">
                  <c:v>88.71564628234015</c:v>
                </c:pt>
                <c:pt idx="139">
                  <c:v>88.7232520553106</c:v>
                </c:pt>
                <c:pt idx="140">
                  <c:v>88.73052391629698</c:v>
                </c:pt>
                <c:pt idx="141">
                  <c:v>88.73747652484981</c:v>
                </c:pt>
                <c:pt idx="142">
                  <c:v>88.7441238969296</c:v>
                </c:pt>
                <c:pt idx="143">
                  <c:v>88.75047943316196</c:v>
                </c:pt>
                <c:pt idx="144">
                  <c:v>88.7565559458524</c:v>
                </c:pt>
                <c:pt idx="145">
                  <c:v>88.762365684815</c:v>
                </c:pt>
                <c:pt idx="146">
                  <c:v>88.76792036206703</c:v>
                </c:pt>
                <c:pt idx="147">
                  <c:v>88.7732311754397</c:v>
                </c:pt>
                <c:pt idx="148">
                  <c:v>88.77830883115212</c:v>
                </c:pt>
                <c:pt idx="149">
                  <c:v>88.7831635653942</c:v>
                </c:pt>
                <c:pt idx="150">
                  <c:v>88.78780516496227</c:v>
                </c:pt>
                <c:pt idx="151">
                  <c:v>88.79224298698834</c:v>
                </c:pt>
                <c:pt idx="152">
                  <c:v>88.7964859778035</c:v>
                </c:pt>
                <c:pt idx="153">
                  <c:v>88.8005426909731</c:v>
                </c:pt>
                <c:pt idx="154">
                  <c:v>88.80442130454015</c:v>
                </c:pt>
                <c:pt idx="155">
                  <c:v>88.80812963751157</c:v>
                </c:pt>
                <c:pt idx="156">
                  <c:v>88.81167516562083</c:v>
                </c:pt>
                <c:pt idx="157">
                  <c:v>88.81506503639847</c:v>
                </c:pt>
                <c:pt idx="158">
                  <c:v>88.81830608358098</c:v>
                </c:pt>
                <c:pt idx="159">
                  <c:v>88.8214048408872</c:v>
                </c:pt>
                <c:pt idx="160">
                  <c:v>88.82436755518972</c:v>
                </c:pt>
                <c:pt idx="161">
                  <c:v>88.82720019910823</c:v>
                </c:pt>
                <c:pt idx="162">
                  <c:v>88.82990848304983</c:v>
                </c:pt>
                <c:pt idx="163">
                  <c:v>88.83249786672083</c:v>
                </c:pt>
                <c:pt idx="164">
                  <c:v>88.8349735701331</c:v>
                </c:pt>
                <c:pt idx="165">
                  <c:v>88.83734058412726</c:v>
                </c:pt>
                <c:pt idx="166">
                  <c:v>88.83960368043388</c:v>
                </c:pt>
                <c:pt idx="167">
                  <c:v>88.84176742129288</c:v>
                </c:pt>
                <c:pt idx="168">
                  <c:v>88.84383616865077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551784"/>
        <c:axId val="2084522664"/>
      </c:lineChart>
      <c:catAx>
        <c:axId val="20845517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522664"/>
        <c:crosses val="autoZero"/>
        <c:auto val="1"/>
        <c:lblAlgn val="ctr"/>
        <c:lblOffset val="100"/>
        <c:noMultiLvlLbl val="0"/>
      </c:catAx>
      <c:valAx>
        <c:axId val="20845226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4551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519306445918"/>
          <c:y val="0.33652225981258"/>
          <c:w val="0.0955640544931883"/>
          <c:h val="0.330601981203962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9151833538102"/>
          <c:y val="0.0601851851851852"/>
          <c:w val="0.786135195821506"/>
          <c:h val="0.822469378827647"/>
        </c:manualLayout>
      </c:layout>
      <c:lineChart>
        <c:grouping val="standard"/>
        <c:varyColors val="0"/>
        <c:ser>
          <c:idx val="2"/>
          <c:order val="0"/>
          <c:tx>
            <c:strRef>
              <c:f>'Aufgabe 6.6'!$D$8</c:f>
              <c:strCache>
                <c:ptCount val="1"/>
                <c:pt idx="0">
                  <c:v> u(k)=u1-uR</c:v>
                </c:pt>
              </c:strCache>
            </c:strRef>
          </c:tx>
          <c:val>
            <c:numRef>
              <c:f>'Aufgabe 6.6'!$D$10:$D$178</c:f>
              <c:numCache>
                <c:formatCode>0.00</c:formatCode>
                <c:ptCount val="169"/>
                <c:pt idx="0">
                  <c:v>40000.0</c:v>
                </c:pt>
                <c:pt idx="1">
                  <c:v>39219.51219512195</c:v>
                </c:pt>
                <c:pt idx="2">
                  <c:v>38473.28970850684</c:v>
                </c:pt>
                <c:pt idx="3">
                  <c:v>37759.82820910897</c:v>
                </c:pt>
                <c:pt idx="4">
                  <c:v>37077.68940968468</c:v>
                </c:pt>
                <c:pt idx="5">
                  <c:v>36425.49816730828</c:v>
                </c:pt>
                <c:pt idx="6">
                  <c:v>35801.93971118255</c:v>
                </c:pt>
                <c:pt idx="7">
                  <c:v>35205.75699215502</c:v>
                </c:pt>
                <c:pt idx="8">
                  <c:v>34635.748148597</c:v>
                </c:pt>
                <c:pt idx="9">
                  <c:v>34090.76408353664</c:v>
                </c:pt>
                <c:pt idx="10">
                  <c:v>33569.70614816186</c:v>
                </c:pt>
                <c:pt idx="11">
                  <c:v>33071.52392702304</c:v>
                </c:pt>
                <c:pt idx="12">
                  <c:v>32595.21312047081</c:v>
                </c:pt>
                <c:pt idx="13">
                  <c:v>32139.8135200599</c:v>
                </c:pt>
                <c:pt idx="14">
                  <c:v>31704.40707283776</c:v>
                </c:pt>
                <c:pt idx="15">
                  <c:v>31288.11603061561</c:v>
                </c:pt>
                <c:pt idx="16">
                  <c:v>30890.10118049102</c:v>
                </c:pt>
                <c:pt idx="17">
                  <c:v>30509.56015305483</c:v>
                </c:pt>
                <c:pt idx="18">
                  <c:v>30145.72580487194</c:v>
                </c:pt>
                <c:pt idx="19">
                  <c:v>29797.86467197512</c:v>
                </c:pt>
                <c:pt idx="20">
                  <c:v>29465.27549125425</c:v>
                </c:pt>
                <c:pt idx="21">
                  <c:v>29147.28778676016</c:v>
                </c:pt>
                <c:pt idx="22">
                  <c:v>28843.26051807313</c:v>
                </c:pt>
                <c:pt idx="23">
                  <c:v>28552.58078801139</c:v>
                </c:pt>
                <c:pt idx="24">
                  <c:v>28274.6626070743</c:v>
                </c:pt>
                <c:pt idx="25">
                  <c:v>28008.94571212957</c:v>
                </c:pt>
                <c:pt idx="26">
                  <c:v>27754.89443696291</c:v>
                </c:pt>
                <c:pt idx="27">
                  <c:v>27511.99663241331</c:v>
                </c:pt>
                <c:pt idx="28">
                  <c:v>27279.76263391712</c:v>
                </c:pt>
                <c:pt idx="29">
                  <c:v>27057.72427437929</c:v>
                </c:pt>
                <c:pt idx="30">
                  <c:v>26845.43394038215</c:v>
                </c:pt>
                <c:pt idx="31">
                  <c:v>26642.46366982878</c:v>
                </c:pt>
                <c:pt idx="32">
                  <c:v>26448.40428920215</c:v>
                </c:pt>
                <c:pt idx="33">
                  <c:v>26262.8645887006</c:v>
                </c:pt>
                <c:pt idx="34">
                  <c:v>26085.47053358691</c:v>
                </c:pt>
                <c:pt idx="35">
                  <c:v>25915.86451016114</c:v>
                </c:pt>
                <c:pt idx="36">
                  <c:v>25753.70460483699</c:v>
                </c:pt>
                <c:pt idx="37">
                  <c:v>25598.66391486854</c:v>
                </c:pt>
                <c:pt idx="38">
                  <c:v>25450.42988933772</c:v>
                </c:pt>
                <c:pt idx="39">
                  <c:v>25308.70369907411</c:v>
                </c:pt>
                <c:pt idx="40">
                  <c:v>25173.19963423671</c:v>
                </c:pt>
                <c:pt idx="41">
                  <c:v>25043.64452834339</c:v>
                </c:pt>
                <c:pt idx="42">
                  <c:v>24919.77720758685</c:v>
                </c:pt>
                <c:pt idx="43">
                  <c:v>24801.34796432694</c:v>
                </c:pt>
                <c:pt idx="44">
                  <c:v>24688.11805369795</c:v>
                </c:pt>
                <c:pt idx="45">
                  <c:v>24579.85921231609</c:v>
                </c:pt>
                <c:pt idx="46">
                  <c:v>24476.35319811685</c:v>
                </c:pt>
                <c:pt idx="47">
                  <c:v>24377.39135039464</c:v>
                </c:pt>
                <c:pt idx="48">
                  <c:v>24282.7741691578</c:v>
                </c:pt>
                <c:pt idx="49">
                  <c:v>24192.31091295087</c:v>
                </c:pt>
                <c:pt idx="50">
                  <c:v>24105.81921433352</c:v>
                </c:pt>
                <c:pt idx="51">
                  <c:v>24023.12471224082</c:v>
                </c:pt>
                <c:pt idx="52">
                  <c:v>23944.06070048391</c:v>
                </c:pt>
                <c:pt idx="53">
                  <c:v>23868.46779168217</c:v>
                </c:pt>
                <c:pt idx="54">
                  <c:v>23796.19359594979</c:v>
                </c:pt>
                <c:pt idx="55">
                  <c:v>23727.09241368857</c:v>
                </c:pt>
                <c:pt idx="56">
                  <c:v>23661.0249418681</c:v>
                </c:pt>
                <c:pt idx="57">
                  <c:v>23597.85799320072</c:v>
                </c:pt>
                <c:pt idx="58">
                  <c:v>23537.46422764556</c:v>
                </c:pt>
                <c:pt idx="59">
                  <c:v>23479.72189570014</c:v>
                </c:pt>
                <c:pt idx="60">
                  <c:v>23424.51459296209</c:v>
                </c:pt>
                <c:pt idx="61">
                  <c:v>23371.73102546619</c:v>
                </c:pt>
                <c:pt idx="62">
                  <c:v>23321.26478532377</c:v>
                </c:pt>
                <c:pt idx="63">
                  <c:v>23273.01413621199</c:v>
                </c:pt>
                <c:pt idx="64">
                  <c:v>23226.88180828073</c:v>
                </c:pt>
                <c:pt idx="65">
                  <c:v>23182.77480206353</c:v>
                </c:pt>
                <c:pt idx="66">
                  <c:v>23140.60420099733</c:v>
                </c:pt>
                <c:pt idx="67">
                  <c:v>23100.28499217305</c:v>
                </c:pt>
                <c:pt idx="68">
                  <c:v>23061.7358949557</c:v>
                </c:pt>
                <c:pt idx="69">
                  <c:v>23024.87919712837</c:v>
                </c:pt>
                <c:pt idx="70">
                  <c:v>22989.64059823005</c:v>
                </c:pt>
                <c:pt idx="71">
                  <c:v>22955.94905977117</c:v>
                </c:pt>
                <c:pt idx="72">
                  <c:v>22923.73666202512</c:v>
                </c:pt>
                <c:pt idx="73">
                  <c:v>22892.93846710694</c:v>
                </c:pt>
                <c:pt idx="74">
                  <c:v>22863.49238806322</c:v>
                </c:pt>
                <c:pt idx="75">
                  <c:v>22835.33906370922</c:v>
                </c:pt>
                <c:pt idx="76">
                  <c:v>22808.42173896101</c:v>
                </c:pt>
                <c:pt idx="77">
                  <c:v>22782.68615042126</c:v>
                </c:pt>
                <c:pt idx="78">
                  <c:v>22758.08041698813</c:v>
                </c:pt>
                <c:pt idx="79">
                  <c:v>22734.5549352667</c:v>
                </c:pt>
                <c:pt idx="80">
                  <c:v>22712.06227957206</c:v>
                </c:pt>
                <c:pt idx="81">
                  <c:v>22690.55710632255</c:v>
                </c:pt>
                <c:pt idx="82">
                  <c:v>22669.99606263034</c:v>
                </c:pt>
                <c:pt idx="83">
                  <c:v>22650.33769890511</c:v>
                </c:pt>
                <c:pt idx="84">
                  <c:v>22631.54238529464</c:v>
                </c:pt>
                <c:pt idx="85">
                  <c:v>22613.5722317939</c:v>
                </c:pt>
                <c:pt idx="86">
                  <c:v>22596.39101186148</c:v>
                </c:pt>
                <c:pt idx="87">
                  <c:v>22579.96408938951</c:v>
                </c:pt>
                <c:pt idx="88">
                  <c:v>22564.25834887973</c:v>
                </c:pt>
                <c:pt idx="89">
                  <c:v>22549.24212868501</c:v>
                </c:pt>
                <c:pt idx="90">
                  <c:v>22534.88515718176</c:v>
                </c:pt>
                <c:pt idx="91">
                  <c:v>22521.15849174451</c:v>
                </c:pt>
                <c:pt idx="92">
                  <c:v>22508.03446039963</c:v>
                </c:pt>
                <c:pt idx="93">
                  <c:v>22495.48660604062</c:v>
                </c:pt>
                <c:pt idx="94">
                  <c:v>22483.4896330925</c:v>
                </c:pt>
                <c:pt idx="95">
                  <c:v>22472.0193565177</c:v>
                </c:pt>
                <c:pt idx="96">
                  <c:v>22461.05265306082</c:v>
                </c:pt>
                <c:pt idx="97">
                  <c:v>22450.56741463376</c:v>
                </c:pt>
                <c:pt idx="98">
                  <c:v>22440.5425037474</c:v>
                </c:pt>
                <c:pt idx="99">
                  <c:v>22430.95771089995</c:v>
                </c:pt>
                <c:pt idx="100">
                  <c:v>22421.79371383605</c:v>
                </c:pt>
                <c:pt idx="101">
                  <c:v>22413.03203859446</c:v>
                </c:pt>
                <c:pt idx="102">
                  <c:v>22407.05729727175</c:v>
                </c:pt>
                <c:pt idx="103">
                  <c:v>22408.49253469979</c:v>
                </c:pt>
                <c:pt idx="104">
                  <c:v>22421.58183333475</c:v>
                </c:pt>
                <c:pt idx="105">
                  <c:v>22450.09443687128</c:v>
                </c:pt>
                <c:pt idx="106">
                  <c:v>22497.24018721614</c:v>
                </c:pt>
                <c:pt idx="107">
                  <c:v>22565.59837367154</c:v>
                </c:pt>
                <c:pt idx="108">
                  <c:v>22657.06176219531</c:v>
                </c:pt>
                <c:pt idx="109">
                  <c:v>22772.79719812333</c:v>
                </c:pt>
                <c:pt idx="110">
                  <c:v>22913.22376697836</c:v>
                </c:pt>
                <c:pt idx="111">
                  <c:v>23078.00906501346</c:v>
                </c:pt>
                <c:pt idx="112">
                  <c:v>23266.08368460608</c:v>
                </c:pt>
                <c:pt idx="113">
                  <c:v>23475.6735705258</c:v>
                </c:pt>
                <c:pt idx="114">
                  <c:v>23704.34946250068</c:v>
                </c:pt>
                <c:pt idx="115">
                  <c:v>23949.09221825284</c:v>
                </c:pt>
                <c:pt idx="116">
                  <c:v>24206.37241963423</c:v>
                </c:pt>
                <c:pt idx="117">
                  <c:v>24472.24231230882</c:v>
                </c:pt>
                <c:pt idx="118">
                  <c:v>24742.4378252686</c:v>
                </c:pt>
                <c:pt idx="119">
                  <c:v>25012.48816782659</c:v>
                </c:pt>
                <c:pt idx="120">
                  <c:v>25277.83031472106</c:v>
                </c:pt>
                <c:pt idx="121">
                  <c:v>25533.92556919672</c:v>
                </c:pt>
                <c:pt idx="122">
                  <c:v>25776.3753423725</c:v>
                </c:pt>
                <c:pt idx="123">
                  <c:v>26001.0333061308</c:v>
                </c:pt>
                <c:pt idx="124">
                  <c:v>26204.11116570328</c:v>
                </c:pt>
                <c:pt idx="125">
                  <c:v>26382.2754548919</c:v>
                </c:pt>
                <c:pt idx="126">
                  <c:v>26532.73297759158</c:v>
                </c:pt>
                <c:pt idx="127">
                  <c:v>26653.30279853487</c:v>
                </c:pt>
                <c:pt idx="128">
                  <c:v>26742.47301708496</c:v>
                </c:pt>
                <c:pt idx="129">
                  <c:v>26799.44093231048</c:v>
                </c:pt>
                <c:pt idx="130">
                  <c:v>26824.13561626568</c:v>
                </c:pt>
                <c:pt idx="131">
                  <c:v>26817.22234530767</c:v>
                </c:pt>
                <c:pt idx="132">
                  <c:v>26780.08878574972</c:v>
                </c:pt>
                <c:pt idx="133">
                  <c:v>26714.81327918023</c:v>
                </c:pt>
                <c:pt idx="134">
                  <c:v>26624.11601331583</c:v>
                </c:pt>
                <c:pt idx="135">
                  <c:v>26511.29428545464</c:v>
                </c:pt>
                <c:pt idx="136">
                  <c:v>26380.14345708121</c:v>
                </c:pt>
                <c:pt idx="137">
                  <c:v>26234.86555030692</c:v>
                </c:pt>
                <c:pt idx="138">
                  <c:v>26079.96774093962</c:v>
                </c:pt>
                <c:pt idx="139">
                  <c:v>25920.15325157248</c:v>
                </c:pt>
                <c:pt idx="140">
                  <c:v>25760.20733504585</c:v>
                </c:pt>
                <c:pt idx="141">
                  <c:v>25604.88115936091</c:v>
                </c:pt>
                <c:pt idx="142">
                  <c:v>25456.37418163287</c:v>
                </c:pt>
                <c:pt idx="143">
                  <c:v>25314.38702243923</c:v>
                </c:pt>
                <c:pt idx="144">
                  <c:v>25178.63344584434</c:v>
                </c:pt>
                <c:pt idx="145">
                  <c:v>25048.83978236824</c:v>
                </c:pt>
                <c:pt idx="146">
                  <c:v>24924.74437728866</c:v>
                </c:pt>
                <c:pt idx="147">
                  <c:v>24806.0970631638</c:v>
                </c:pt>
                <c:pt idx="148">
                  <c:v>24692.6586555127</c:v>
                </c:pt>
                <c:pt idx="149">
                  <c:v>24584.20047063653</c:v>
                </c:pt>
                <c:pt idx="150">
                  <c:v>24480.50386460858</c:v>
                </c:pt>
                <c:pt idx="151">
                  <c:v>24381.35979250381</c:v>
                </c:pt>
                <c:pt idx="152">
                  <c:v>24286.56838697926</c:v>
                </c:pt>
                <c:pt idx="153">
                  <c:v>24195.93855535577</c:v>
                </c:pt>
                <c:pt idx="154">
                  <c:v>24109.28759438893</c:v>
                </c:pt>
                <c:pt idx="155">
                  <c:v>24026.44082195234</c:v>
                </c:pt>
                <c:pt idx="156">
                  <c:v>23947.23122489102</c:v>
                </c:pt>
                <c:pt idx="157">
                  <c:v>23871.49912233483</c:v>
                </c:pt>
                <c:pt idx="158">
                  <c:v>23799.0918437933</c:v>
                </c:pt>
                <c:pt idx="159">
                  <c:v>23729.86342138286</c:v>
                </c:pt>
                <c:pt idx="160">
                  <c:v>23663.67429556605</c:v>
                </c:pt>
                <c:pt idx="161">
                  <c:v>23600.3910338095</c:v>
                </c:pt>
                <c:pt idx="162">
                  <c:v>23539.88606159346</c:v>
                </c:pt>
                <c:pt idx="163">
                  <c:v>23482.03740523082</c:v>
                </c:pt>
                <c:pt idx="164">
                  <c:v>23426.72844597678</c:v>
                </c:pt>
                <c:pt idx="165">
                  <c:v>23373.8476849339</c:v>
                </c:pt>
                <c:pt idx="166">
                  <c:v>23323.28851827826</c:v>
                </c:pt>
                <c:pt idx="167">
                  <c:v>23274.94902235385</c:v>
                </c:pt>
                <c:pt idx="168">
                  <c:v>23228.73174820173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'Aufgabe 6.6'!$E$8</c:f>
              <c:strCache>
                <c:ptCount val="1"/>
                <c:pt idx="0">
                  <c:v> Fab(k)</c:v>
                </c:pt>
              </c:strCache>
            </c:strRef>
          </c:tx>
          <c:val>
            <c:numRef>
              <c:f>'Aufgabe 6.6'!$E$10:$E$178</c:f>
              <c:numCache>
                <c:formatCode>0.00</c:formatCode>
                <c:ptCount val="16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123.1165940486223</c:v>
                </c:pt>
                <c:pt idx="102">
                  <c:v>489.4348370484647</c:v>
                </c:pt>
                <c:pt idx="103">
                  <c:v>1089.934758116321</c:v>
                </c:pt>
                <c:pt idx="104">
                  <c:v>1909.830056250526</c:v>
                </c:pt>
                <c:pt idx="105">
                  <c:v>2928.932188134524</c:v>
                </c:pt>
                <c:pt idx="106">
                  <c:v>4122.147477075268</c:v>
                </c:pt>
                <c:pt idx="107">
                  <c:v>5460.095002604532</c:v>
                </c:pt>
                <c:pt idx="108">
                  <c:v>6909.830056250526</c:v>
                </c:pt>
                <c:pt idx="109">
                  <c:v>8435.655349597691</c:v>
                </c:pt>
                <c:pt idx="110">
                  <c:v>9999.999999999998</c:v>
                </c:pt>
                <c:pt idx="111">
                  <c:v>11564.34465040231</c:v>
                </c:pt>
                <c:pt idx="112">
                  <c:v>13090.16994374948</c:v>
                </c:pt>
                <c:pt idx="113">
                  <c:v>14539.90499739547</c:v>
                </c:pt>
                <c:pt idx="114">
                  <c:v>15877.85252292473</c:v>
                </c:pt>
                <c:pt idx="115">
                  <c:v>17071.06781186548</c:v>
                </c:pt>
                <c:pt idx="116">
                  <c:v>18090.16994374948</c:v>
                </c:pt>
                <c:pt idx="117">
                  <c:v>18910.06524188368</c:v>
                </c:pt>
                <c:pt idx="118">
                  <c:v>19510.56516295154</c:v>
                </c:pt>
                <c:pt idx="119">
                  <c:v>19876.88340595138</c:v>
                </c:pt>
                <c:pt idx="120">
                  <c:v>20000.0</c:v>
                </c:pt>
                <c:pt idx="121">
                  <c:v>19876.88340595138</c:v>
                </c:pt>
                <c:pt idx="122">
                  <c:v>19510.56516295154</c:v>
                </c:pt>
                <c:pt idx="123">
                  <c:v>18910.06524188368</c:v>
                </c:pt>
                <c:pt idx="124">
                  <c:v>18090.16994374948</c:v>
                </c:pt>
                <c:pt idx="125">
                  <c:v>17071.06781186548</c:v>
                </c:pt>
                <c:pt idx="126">
                  <c:v>15877.85252292472</c:v>
                </c:pt>
                <c:pt idx="127">
                  <c:v>14539.90499739547</c:v>
                </c:pt>
                <c:pt idx="128">
                  <c:v>13090.16994374948</c:v>
                </c:pt>
                <c:pt idx="129">
                  <c:v>11564.34465040231</c:v>
                </c:pt>
                <c:pt idx="130">
                  <c:v>10000.0</c:v>
                </c:pt>
                <c:pt idx="131">
                  <c:v>8435.655349597693</c:v>
                </c:pt>
                <c:pt idx="132">
                  <c:v>6909.830056250527</c:v>
                </c:pt>
                <c:pt idx="133">
                  <c:v>5460.095002604526</c:v>
                </c:pt>
                <c:pt idx="134">
                  <c:v>4122.147477075263</c:v>
                </c:pt>
                <c:pt idx="135">
                  <c:v>2928.932188134526</c:v>
                </c:pt>
                <c:pt idx="136">
                  <c:v>1909.830056250527</c:v>
                </c:pt>
                <c:pt idx="137">
                  <c:v>1089.934758116319</c:v>
                </c:pt>
                <c:pt idx="138">
                  <c:v>489.4348370484647</c:v>
                </c:pt>
                <c:pt idx="139">
                  <c:v>123.1165940486234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'Aufgabe 6.6'!$C$8</c:f>
              <c:strCache>
                <c:ptCount val="1"/>
                <c:pt idx="0">
                  <c:v> u(k)=u1-u'R</c:v>
                </c:pt>
              </c:strCache>
            </c:strRef>
          </c:tx>
          <c:val>
            <c:numRef>
              <c:f>'Aufgabe 6.6'!$C$10:$C$178</c:f>
              <c:numCache>
                <c:formatCode>0.00</c:formatCode>
                <c:ptCount val="169"/>
                <c:pt idx="0">
                  <c:v>40000.0</c:v>
                </c:pt>
                <c:pt idx="1">
                  <c:v>39219.51219512195</c:v>
                </c:pt>
                <c:pt idx="2">
                  <c:v>38473.28970850684</c:v>
                </c:pt>
                <c:pt idx="3">
                  <c:v>37759.82820910897</c:v>
                </c:pt>
                <c:pt idx="4">
                  <c:v>37077.68940968468</c:v>
                </c:pt>
                <c:pt idx="5">
                  <c:v>36425.49816730828</c:v>
                </c:pt>
                <c:pt idx="6">
                  <c:v>35801.93971118255</c:v>
                </c:pt>
                <c:pt idx="7">
                  <c:v>35205.75699215502</c:v>
                </c:pt>
                <c:pt idx="8">
                  <c:v>34635.748148597</c:v>
                </c:pt>
                <c:pt idx="9">
                  <c:v>34090.76408353664</c:v>
                </c:pt>
                <c:pt idx="10">
                  <c:v>33569.70614816186</c:v>
                </c:pt>
                <c:pt idx="11">
                  <c:v>33071.52392702304</c:v>
                </c:pt>
                <c:pt idx="12">
                  <c:v>32595.21312047081</c:v>
                </c:pt>
                <c:pt idx="13">
                  <c:v>32139.8135200599</c:v>
                </c:pt>
                <c:pt idx="14">
                  <c:v>31704.40707283776</c:v>
                </c:pt>
                <c:pt idx="15">
                  <c:v>31288.11603061561</c:v>
                </c:pt>
                <c:pt idx="16">
                  <c:v>30890.10118049102</c:v>
                </c:pt>
                <c:pt idx="17">
                  <c:v>30509.56015305483</c:v>
                </c:pt>
                <c:pt idx="18">
                  <c:v>30145.72580487194</c:v>
                </c:pt>
                <c:pt idx="19">
                  <c:v>29797.86467197512</c:v>
                </c:pt>
                <c:pt idx="20">
                  <c:v>29465.27549125425</c:v>
                </c:pt>
                <c:pt idx="21">
                  <c:v>29147.28778676016</c:v>
                </c:pt>
                <c:pt idx="22">
                  <c:v>28843.26051807313</c:v>
                </c:pt>
                <c:pt idx="23">
                  <c:v>28552.58078801139</c:v>
                </c:pt>
                <c:pt idx="24">
                  <c:v>28274.6626070743</c:v>
                </c:pt>
                <c:pt idx="25">
                  <c:v>28008.94571212957</c:v>
                </c:pt>
                <c:pt idx="26">
                  <c:v>27754.89443696291</c:v>
                </c:pt>
                <c:pt idx="27">
                  <c:v>27511.99663241331</c:v>
                </c:pt>
                <c:pt idx="28">
                  <c:v>27279.76263391712</c:v>
                </c:pt>
                <c:pt idx="29">
                  <c:v>27057.72427437929</c:v>
                </c:pt>
                <c:pt idx="30">
                  <c:v>26845.43394038215</c:v>
                </c:pt>
                <c:pt idx="31">
                  <c:v>26642.46366982878</c:v>
                </c:pt>
                <c:pt idx="32">
                  <c:v>26448.40428920215</c:v>
                </c:pt>
                <c:pt idx="33">
                  <c:v>26262.8645887006</c:v>
                </c:pt>
                <c:pt idx="34">
                  <c:v>26085.47053358691</c:v>
                </c:pt>
                <c:pt idx="35">
                  <c:v>25915.86451016114</c:v>
                </c:pt>
                <c:pt idx="36">
                  <c:v>25753.70460483699</c:v>
                </c:pt>
                <c:pt idx="37">
                  <c:v>25598.66391486854</c:v>
                </c:pt>
                <c:pt idx="38">
                  <c:v>25450.42988933772</c:v>
                </c:pt>
                <c:pt idx="39">
                  <c:v>25308.70369907411</c:v>
                </c:pt>
                <c:pt idx="40">
                  <c:v>25173.19963423671</c:v>
                </c:pt>
                <c:pt idx="41">
                  <c:v>25043.64452834339</c:v>
                </c:pt>
                <c:pt idx="42">
                  <c:v>24919.77720758685</c:v>
                </c:pt>
                <c:pt idx="43">
                  <c:v>24801.34796432694</c:v>
                </c:pt>
                <c:pt idx="44">
                  <c:v>24688.11805369795</c:v>
                </c:pt>
                <c:pt idx="45">
                  <c:v>24579.85921231609</c:v>
                </c:pt>
                <c:pt idx="46">
                  <c:v>24476.35319811685</c:v>
                </c:pt>
                <c:pt idx="47">
                  <c:v>24377.39135039464</c:v>
                </c:pt>
                <c:pt idx="48">
                  <c:v>24282.7741691578</c:v>
                </c:pt>
                <c:pt idx="49">
                  <c:v>24192.31091295087</c:v>
                </c:pt>
                <c:pt idx="50">
                  <c:v>24105.81921433352</c:v>
                </c:pt>
                <c:pt idx="51">
                  <c:v>24023.12471224082</c:v>
                </c:pt>
                <c:pt idx="52">
                  <c:v>23944.06070048391</c:v>
                </c:pt>
                <c:pt idx="53">
                  <c:v>23868.46779168217</c:v>
                </c:pt>
                <c:pt idx="54">
                  <c:v>23796.19359594979</c:v>
                </c:pt>
                <c:pt idx="55">
                  <c:v>23727.09241368857</c:v>
                </c:pt>
                <c:pt idx="56">
                  <c:v>23661.0249418681</c:v>
                </c:pt>
                <c:pt idx="57">
                  <c:v>23597.85799320072</c:v>
                </c:pt>
                <c:pt idx="58">
                  <c:v>23537.46422764556</c:v>
                </c:pt>
                <c:pt idx="59">
                  <c:v>23479.72189570014</c:v>
                </c:pt>
                <c:pt idx="60">
                  <c:v>23424.51459296209</c:v>
                </c:pt>
                <c:pt idx="61">
                  <c:v>23371.73102546619</c:v>
                </c:pt>
                <c:pt idx="62">
                  <c:v>23321.26478532377</c:v>
                </c:pt>
                <c:pt idx="63">
                  <c:v>23273.01413621199</c:v>
                </c:pt>
                <c:pt idx="64">
                  <c:v>23226.88180828073</c:v>
                </c:pt>
                <c:pt idx="65">
                  <c:v>23182.77480206353</c:v>
                </c:pt>
                <c:pt idx="66">
                  <c:v>23140.60420099733</c:v>
                </c:pt>
                <c:pt idx="67">
                  <c:v>23100.28499217305</c:v>
                </c:pt>
                <c:pt idx="68">
                  <c:v>23061.7358949557</c:v>
                </c:pt>
                <c:pt idx="69">
                  <c:v>23024.87919712837</c:v>
                </c:pt>
                <c:pt idx="70">
                  <c:v>22989.64059823005</c:v>
                </c:pt>
                <c:pt idx="71">
                  <c:v>22955.94905977117</c:v>
                </c:pt>
                <c:pt idx="72">
                  <c:v>22923.73666202512</c:v>
                </c:pt>
                <c:pt idx="73">
                  <c:v>22892.93846710694</c:v>
                </c:pt>
                <c:pt idx="74">
                  <c:v>22863.49238806322</c:v>
                </c:pt>
                <c:pt idx="75">
                  <c:v>22835.33906370922</c:v>
                </c:pt>
                <c:pt idx="76">
                  <c:v>22808.42173896101</c:v>
                </c:pt>
                <c:pt idx="77">
                  <c:v>22782.68615042126</c:v>
                </c:pt>
                <c:pt idx="78">
                  <c:v>22758.08041698813</c:v>
                </c:pt>
                <c:pt idx="79">
                  <c:v>22734.5549352667</c:v>
                </c:pt>
                <c:pt idx="80">
                  <c:v>22712.06227957206</c:v>
                </c:pt>
                <c:pt idx="81">
                  <c:v>22690.55710632255</c:v>
                </c:pt>
                <c:pt idx="82">
                  <c:v>22669.99606263034</c:v>
                </c:pt>
                <c:pt idx="83">
                  <c:v>22650.33769890511</c:v>
                </c:pt>
                <c:pt idx="84">
                  <c:v>22631.54238529464</c:v>
                </c:pt>
                <c:pt idx="85">
                  <c:v>22613.5722317939</c:v>
                </c:pt>
                <c:pt idx="86">
                  <c:v>22596.39101186148</c:v>
                </c:pt>
                <c:pt idx="87">
                  <c:v>22579.96408938951</c:v>
                </c:pt>
                <c:pt idx="88">
                  <c:v>22564.25834887973</c:v>
                </c:pt>
                <c:pt idx="89">
                  <c:v>22549.24212868501</c:v>
                </c:pt>
                <c:pt idx="90">
                  <c:v>22534.88515718176</c:v>
                </c:pt>
                <c:pt idx="91">
                  <c:v>22521.15849174451</c:v>
                </c:pt>
                <c:pt idx="92">
                  <c:v>22508.03446039963</c:v>
                </c:pt>
                <c:pt idx="93">
                  <c:v>22495.48660604062</c:v>
                </c:pt>
                <c:pt idx="94">
                  <c:v>22483.4896330925</c:v>
                </c:pt>
                <c:pt idx="95">
                  <c:v>22472.0193565177</c:v>
                </c:pt>
                <c:pt idx="96">
                  <c:v>22461.05265306082</c:v>
                </c:pt>
                <c:pt idx="97">
                  <c:v>22450.56741463376</c:v>
                </c:pt>
                <c:pt idx="98">
                  <c:v>22440.5425037474</c:v>
                </c:pt>
                <c:pt idx="99">
                  <c:v>22430.95771089995</c:v>
                </c:pt>
                <c:pt idx="100">
                  <c:v>22421.79371383605</c:v>
                </c:pt>
                <c:pt idx="101">
                  <c:v>22536.14863264308</c:v>
                </c:pt>
                <c:pt idx="102">
                  <c:v>22894.0898593144</c:v>
                </c:pt>
                <c:pt idx="103">
                  <c:v>23486.58053550227</c:v>
                </c:pt>
                <c:pt idx="104">
                  <c:v>24298.81821414149</c:v>
                </c:pt>
                <c:pt idx="105">
                  <c:v>25310.59891470344</c:v>
                </c:pt>
                <c:pt idx="106">
                  <c:v>26496.81420101433</c:v>
                </c:pt>
                <c:pt idx="107">
                  <c:v>27828.06904110237</c:v>
                </c:pt>
                <c:pt idx="108">
                  <c:v>29271.40523452162</c:v>
                </c:pt>
                <c:pt idx="109">
                  <c:v>30791.11259321298</c:v>
                </c:pt>
                <c:pt idx="110">
                  <c:v>32349.60790121266</c:v>
                </c:pt>
                <c:pt idx="111">
                  <c:v>33908.36000961051</c:v>
                </c:pt>
                <c:pt idx="112">
                  <c:v>35428.83828718756</c:v>
                </c:pt>
                <c:pt idx="113">
                  <c:v>36873.46107209726</c:v>
                </c:pt>
                <c:pt idx="114">
                  <c:v>38206.52076995667</c:v>
                </c:pt>
                <c:pt idx="115">
                  <c:v>39395.06281878383</c:v>
                </c:pt>
                <c:pt idx="116">
                  <c:v>40409.69687719336</c:v>
                </c:pt>
                <c:pt idx="117">
                  <c:v>41225.32026117637</c:v>
                </c:pt>
                <c:pt idx="118">
                  <c:v>41821.73581554356</c:v>
                </c:pt>
                <c:pt idx="119">
                  <c:v>42184.14900550278</c:v>
                </c:pt>
                <c:pt idx="120">
                  <c:v>42303.53198786378</c:v>
                </c:pt>
                <c:pt idx="121">
                  <c:v>42176.845696787</c:v>
                </c:pt>
                <c:pt idx="122">
                  <c:v>41807.1144751651</c:v>
                </c:pt>
                <c:pt idx="123">
                  <c:v>41203.35141356103</c:v>
                </c:pt>
                <c:pt idx="124">
                  <c:v>40380.33623471904</c:v>
                </c:pt>
                <c:pt idx="125">
                  <c:v>39358.25119249979</c:v>
                </c:pt>
                <c:pt idx="126">
                  <c:v>38162.18395026289</c:v>
                </c:pt>
                <c:pt idx="127">
                  <c:v>36821.50967914317</c:v>
                </c:pt>
                <c:pt idx="128">
                  <c:v>35369.16759068875</c:v>
                </c:pt>
                <c:pt idx="129">
                  <c:v>33840.84971771986</c:v>
                </c:pt>
                <c:pt idx="130">
                  <c:v>32274.12191802068</c:v>
                </c:pt>
                <c:pt idx="131">
                  <c:v>30707.4987443882</c:v>
                </c:pt>
                <c:pt idx="132">
                  <c:v>29179.49496053803</c:v>
                </c:pt>
                <c:pt idx="133">
                  <c:v>27727.6770574355</c:v>
                </c:pt>
                <c:pt idx="134">
                  <c:v>26387.73812462097</c:v>
                </c:pt>
                <c:pt idx="135">
                  <c:v>25192.61885603188</c:v>
                </c:pt>
                <c:pt idx="136">
                  <c:v>24171.69633384996</c:v>
                </c:pt>
                <c:pt idx="137">
                  <c:v>23350.06056499187</c:v>
                </c:pt>
                <c:pt idx="138">
                  <c:v>22747.89658410996</c:v>
                </c:pt>
                <c:pt idx="139">
                  <c:v>22379.9873375806</c:v>
                </c:pt>
                <c:pt idx="140">
                  <c:v>22255.34958893788</c:v>
                </c:pt>
                <c:pt idx="141">
                  <c:v>22253.8952167406</c:v>
                </c:pt>
                <c:pt idx="142">
                  <c:v>22252.50469503004</c:v>
                </c:pt>
                <c:pt idx="143">
                  <c:v>22251.17522061408</c:v>
                </c:pt>
                <c:pt idx="144">
                  <c:v>22249.90411336761</c:v>
                </c:pt>
                <c:pt idx="145">
                  <c:v>22248.68881082952</c:v>
                </c:pt>
                <c:pt idx="146">
                  <c:v>22247.526863037</c:v>
                </c:pt>
                <c:pt idx="147">
                  <c:v>22246.41592758659</c:v>
                </c:pt>
                <c:pt idx="148">
                  <c:v>22245.35376491206</c:v>
                </c:pt>
                <c:pt idx="149">
                  <c:v>22244.33823376958</c:v>
                </c:pt>
                <c:pt idx="150">
                  <c:v>22243.36728692116</c:v>
                </c:pt>
                <c:pt idx="151">
                  <c:v>22242.43896700754</c:v>
                </c:pt>
                <c:pt idx="152">
                  <c:v>22241.55140260233</c:v>
                </c:pt>
                <c:pt idx="153">
                  <c:v>22240.7028044393</c:v>
                </c:pt>
                <c:pt idx="154">
                  <c:v>22239.89146180538</c:v>
                </c:pt>
                <c:pt idx="155">
                  <c:v>22239.11573909197</c:v>
                </c:pt>
                <c:pt idx="156">
                  <c:v>22238.37407249769</c:v>
                </c:pt>
                <c:pt idx="157">
                  <c:v>22237.66496687584</c:v>
                </c:pt>
                <c:pt idx="158">
                  <c:v>22236.9869927203</c:v>
                </c:pt>
                <c:pt idx="159">
                  <c:v>22236.3387832838</c:v>
                </c:pt>
                <c:pt idx="160">
                  <c:v>22235.71903182256</c:v>
                </c:pt>
                <c:pt idx="161">
                  <c:v>22235.12648896205</c:v>
                </c:pt>
                <c:pt idx="162">
                  <c:v>22234.55996017835</c:v>
                </c:pt>
                <c:pt idx="163">
                  <c:v>22234.01830339003</c:v>
                </c:pt>
                <c:pt idx="164">
                  <c:v>22233.50042665584</c:v>
                </c:pt>
                <c:pt idx="165">
                  <c:v>22233.00528597338</c:v>
                </c:pt>
                <c:pt idx="166">
                  <c:v>22232.53188317455</c:v>
                </c:pt>
                <c:pt idx="167">
                  <c:v>22232.07926391322</c:v>
                </c:pt>
                <c:pt idx="168">
                  <c:v>22231.64651574142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914616"/>
        <c:axId val="2082917592"/>
      </c:lineChart>
      <c:catAx>
        <c:axId val="20829146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917592"/>
        <c:crosses val="autoZero"/>
        <c:auto val="1"/>
        <c:lblAlgn val="ctr"/>
        <c:lblOffset val="100"/>
        <c:noMultiLvlLbl val="0"/>
      </c:catAx>
      <c:valAx>
        <c:axId val="20829175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2914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02794005588"/>
          <c:y val="0.38273257509478"/>
          <c:w val="0.100368711822415"/>
          <c:h val="0.379580052493438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9151833538102"/>
          <c:y val="0.0601851851851852"/>
          <c:w val="0.786135195821506"/>
          <c:h val="0.822469378827647"/>
        </c:manualLayout>
      </c:layout>
      <c:lineChart>
        <c:grouping val="standard"/>
        <c:varyColors val="0"/>
        <c:ser>
          <c:idx val="3"/>
          <c:order val="0"/>
          <c:tx>
            <c:strRef>
              <c:f>'Aufgabe 6.6P'!$G$8</c:f>
              <c:strCache>
                <c:ptCount val="1"/>
                <c:pt idx="0">
                  <c:v> v(k)</c:v>
                </c:pt>
              </c:strCache>
            </c:strRef>
          </c:tx>
          <c:val>
            <c:numRef>
              <c:f>'Aufgabe 6.6P'!$G$10:$G$178</c:f>
              <c:numCache>
                <c:formatCode>0.00</c:formatCode>
                <c:ptCount val="169"/>
                <c:pt idx="0">
                  <c:v>5.4</c:v>
                </c:pt>
                <c:pt idx="1">
                  <c:v>10.638</c:v>
                </c:pt>
                <c:pt idx="2">
                  <c:v>15.71886</c:v>
                </c:pt>
                <c:pt idx="3">
                  <c:v>20.6472942</c:v>
                </c:pt>
                <c:pt idx="4">
                  <c:v>25.427875374</c:v>
                </c:pt>
                <c:pt idx="5">
                  <c:v>30.06503911278</c:v>
                </c:pt>
                <c:pt idx="6">
                  <c:v>34.5630879393966</c:v>
                </c:pt>
                <c:pt idx="7">
                  <c:v>38.9261953012147</c:v>
                </c:pt>
                <c:pt idx="8">
                  <c:v>43.15840944217826</c:v>
                </c:pt>
                <c:pt idx="9">
                  <c:v>47.26365715891291</c:v>
                </c:pt>
                <c:pt idx="10">
                  <c:v>51.24574744414553</c:v>
                </c:pt>
                <c:pt idx="11">
                  <c:v>55.10837502082116</c:v>
                </c:pt>
                <c:pt idx="12">
                  <c:v>58.85512377019653</c:v>
                </c:pt>
                <c:pt idx="13">
                  <c:v>62.48947005709064</c:v>
                </c:pt>
                <c:pt idx="14">
                  <c:v>66.0147859553779</c:v>
                </c:pt>
                <c:pt idx="15">
                  <c:v>69.43434237671659</c:v>
                </c:pt>
                <c:pt idx="16">
                  <c:v>72.75131210541508</c:v>
                </c:pt>
                <c:pt idx="17">
                  <c:v>75.96877274225263</c:v>
                </c:pt>
                <c:pt idx="18">
                  <c:v>79.08970955998505</c:v>
                </c:pt>
                <c:pt idx="19">
                  <c:v>82.11701827318551</c:v>
                </c:pt>
                <c:pt idx="20">
                  <c:v>85.05350772498994</c:v>
                </c:pt>
                <c:pt idx="21">
                  <c:v>87.90190249324024</c:v>
                </c:pt>
                <c:pt idx="22">
                  <c:v>90.66484541844304</c:v>
                </c:pt>
                <c:pt idx="23">
                  <c:v>93.34490005588975</c:v>
                </c:pt>
                <c:pt idx="24">
                  <c:v>95.94455305421305</c:v>
                </c:pt>
                <c:pt idx="25">
                  <c:v>98.46621646258667</c:v>
                </c:pt>
                <c:pt idx="26">
                  <c:v>100.9122299687091</c:v>
                </c:pt>
                <c:pt idx="27">
                  <c:v>103.2848630696478</c:v>
                </c:pt>
                <c:pt idx="28">
                  <c:v>105.5863171775584</c:v>
                </c:pt>
                <c:pt idx="29">
                  <c:v>107.8187276622316</c:v>
                </c:pt>
                <c:pt idx="30">
                  <c:v>109.9841658323647</c:v>
                </c:pt>
                <c:pt idx="31">
                  <c:v>112.0846408573937</c:v>
                </c:pt>
                <c:pt idx="32">
                  <c:v>114.1221016316719</c:v>
                </c:pt>
                <c:pt idx="33">
                  <c:v>116.0984385827218</c:v>
                </c:pt>
                <c:pt idx="34">
                  <c:v>118.0154854252401</c:v>
                </c:pt>
                <c:pt idx="35">
                  <c:v>119.8750208624829</c:v>
                </c:pt>
                <c:pt idx="36">
                  <c:v>121.6787702366084</c:v>
                </c:pt>
                <c:pt idx="37">
                  <c:v>123.4284071295102</c:v>
                </c:pt>
                <c:pt idx="38">
                  <c:v>125.1255549156249</c:v>
                </c:pt>
                <c:pt idx="39">
                  <c:v>126.7717882681561</c:v>
                </c:pt>
                <c:pt idx="40">
                  <c:v>128.3686346201114</c:v>
                </c:pt>
                <c:pt idx="41">
                  <c:v>129.9175755815081</c:v>
                </c:pt>
                <c:pt idx="42">
                  <c:v>131.4200483140629</c:v>
                </c:pt>
                <c:pt idx="43">
                  <c:v>132.877446864641</c:v>
                </c:pt>
                <c:pt idx="44">
                  <c:v>134.2911234587017</c:v>
                </c:pt>
                <c:pt idx="45">
                  <c:v>135.6623897549407</c:v>
                </c:pt>
                <c:pt idx="46">
                  <c:v>136.9925180622925</c:v>
                </c:pt>
                <c:pt idx="47">
                  <c:v>138.2827425204237</c:v>
                </c:pt>
                <c:pt idx="48">
                  <c:v>139.534260244811</c:v>
                </c:pt>
                <c:pt idx="49">
                  <c:v>140.7482324374667</c:v>
                </c:pt>
                <c:pt idx="50">
                  <c:v>141.9257854643427</c:v>
                </c:pt>
                <c:pt idx="51">
                  <c:v>143.0680119004124</c:v>
                </c:pt>
                <c:pt idx="52">
                  <c:v>144.1759715434</c:v>
                </c:pt>
                <c:pt idx="53">
                  <c:v>145.250692397098</c:v>
                </c:pt>
                <c:pt idx="54">
                  <c:v>146.2931716251851</c:v>
                </c:pt>
                <c:pt idx="55">
                  <c:v>147.3043764764295</c:v>
                </c:pt>
                <c:pt idx="56">
                  <c:v>148.2852451821366</c:v>
                </c:pt>
                <c:pt idx="57">
                  <c:v>149.2366878266725</c:v>
                </c:pt>
                <c:pt idx="58">
                  <c:v>150.1595871918723</c:v>
                </c:pt>
                <c:pt idx="59">
                  <c:v>151.0547995761162</c:v>
                </c:pt>
                <c:pt idx="60">
                  <c:v>151.9231555888327</c:v>
                </c:pt>
                <c:pt idx="61">
                  <c:v>152.7654609211677</c:v>
                </c:pt>
                <c:pt idx="62">
                  <c:v>153.5824970935327</c:v>
                </c:pt>
                <c:pt idx="63">
                  <c:v>154.3750221807267</c:v>
                </c:pt>
                <c:pt idx="64">
                  <c:v>155.1437715153048</c:v>
                </c:pt>
                <c:pt idx="65">
                  <c:v>155.8894583698457</c:v>
                </c:pt>
                <c:pt idx="66">
                  <c:v>156.6127746187503</c:v>
                </c:pt>
                <c:pt idx="67">
                  <c:v>157.3143913801878</c:v>
                </c:pt>
                <c:pt idx="68">
                  <c:v>157.9949596387822</c:v>
                </c:pt>
                <c:pt idx="69">
                  <c:v>158.6551108496188</c:v>
                </c:pt>
                <c:pt idx="70">
                  <c:v>159.2954575241302</c:v>
                </c:pt>
                <c:pt idx="71">
                  <c:v>159.9165937984063</c:v>
                </c:pt>
                <c:pt idx="72">
                  <c:v>160.5190959844541</c:v>
                </c:pt>
                <c:pt idx="73">
                  <c:v>161.1035231049205</c:v>
                </c:pt>
                <c:pt idx="74">
                  <c:v>161.6704174117729</c:v>
                </c:pt>
                <c:pt idx="75">
                  <c:v>162.2203048894197</c:v>
                </c:pt>
                <c:pt idx="76">
                  <c:v>162.7536957427371</c:v>
                </c:pt>
                <c:pt idx="77">
                  <c:v>163.271084870455</c:v>
                </c:pt>
                <c:pt idx="78">
                  <c:v>163.7729523243413</c:v>
                </c:pt>
                <c:pt idx="79">
                  <c:v>164.2597637546111</c:v>
                </c:pt>
                <c:pt idx="80">
                  <c:v>164.7319708419728</c:v>
                </c:pt>
                <c:pt idx="81">
                  <c:v>165.1900117167136</c:v>
                </c:pt>
                <c:pt idx="82">
                  <c:v>165.6343113652122</c:v>
                </c:pt>
                <c:pt idx="83">
                  <c:v>166.0652820242558</c:v>
                </c:pt>
                <c:pt idx="84">
                  <c:v>166.4833235635281</c:v>
                </c:pt>
                <c:pt idx="85">
                  <c:v>166.8888238566223</c:v>
                </c:pt>
                <c:pt idx="86">
                  <c:v>167.2821591409236</c:v>
                </c:pt>
                <c:pt idx="87">
                  <c:v>167.6636943666959</c:v>
                </c:pt>
                <c:pt idx="88">
                  <c:v>168.0337835356951</c:v>
                </c:pt>
                <c:pt idx="89">
                  <c:v>168.3927700296242</c:v>
                </c:pt>
                <c:pt idx="90">
                  <c:v>168.7409869287355</c:v>
                </c:pt>
                <c:pt idx="91">
                  <c:v>169.0787573208734</c:v>
                </c:pt>
                <c:pt idx="92">
                  <c:v>169.4063946012472</c:v>
                </c:pt>
                <c:pt idx="93">
                  <c:v>169.7242027632098</c:v>
                </c:pt>
                <c:pt idx="94">
                  <c:v>170.0324766803135</c:v>
                </c:pt>
                <c:pt idx="95">
                  <c:v>170.3315023799041</c:v>
                </c:pt>
                <c:pt idx="96">
                  <c:v>170.621557308507</c:v>
                </c:pt>
                <c:pt idx="97">
                  <c:v>170.9029105892517</c:v>
                </c:pt>
                <c:pt idx="98">
                  <c:v>171.1758232715742</c:v>
                </c:pt>
                <c:pt idx="99">
                  <c:v>171.440548573427</c:v>
                </c:pt>
                <c:pt idx="100">
                  <c:v>171.6973321162241</c:v>
                </c:pt>
                <c:pt idx="101">
                  <c:v>171.9341004933326</c:v>
                </c:pt>
                <c:pt idx="102">
                  <c:v>172.1271339948277</c:v>
                </c:pt>
                <c:pt idx="103">
                  <c:v>172.2543264991712</c:v>
                </c:pt>
                <c:pt idx="104">
                  <c:v>172.2957136985711</c:v>
                </c:pt>
                <c:pt idx="105">
                  <c:v>172.2339490688005</c:v>
                </c:pt>
                <c:pt idx="106">
                  <c:v>172.054715849029</c:v>
                </c:pt>
                <c:pt idx="107">
                  <c:v>171.7470648732976</c:v>
                </c:pt>
                <c:pt idx="108">
                  <c:v>171.3036699214736</c:v>
                </c:pt>
                <c:pt idx="109">
                  <c:v>170.7209942888697</c:v>
                </c:pt>
                <c:pt idx="110">
                  <c:v>169.9993644602036</c:v>
                </c:pt>
                <c:pt idx="111">
                  <c:v>169.1429490613572</c:v>
                </c:pt>
                <c:pt idx="112">
                  <c:v>168.1596435951416</c:v>
                </c:pt>
                <c:pt idx="113">
                  <c:v>167.0608637875478</c:v>
                </c:pt>
                <c:pt idx="114">
                  <c:v>165.8612526216289</c:v>
                </c:pt>
                <c:pt idx="115">
                  <c:v>164.5783082617935</c:v>
                </c:pt>
                <c:pt idx="116">
                  <c:v>163.2319420195647</c:v>
                </c:pt>
                <c:pt idx="117">
                  <c:v>161.8439772347894</c:v>
                </c:pt>
                <c:pt idx="118">
                  <c:v>160.4376014014506</c:v>
                </c:pt>
                <c:pt idx="119">
                  <c:v>159.0367850188119</c:v>
                </c:pt>
                <c:pt idx="120">
                  <c:v>157.6656814682476</c:v>
                </c:pt>
                <c:pt idx="121">
                  <c:v>156.348022683605</c:v>
                </c:pt>
                <c:pt idx="122">
                  <c:v>155.1065254868017</c:v>
                </c:pt>
                <c:pt idx="123">
                  <c:v>153.9623231980093</c:v>
                </c:pt>
                <c:pt idx="124">
                  <c:v>152.934436507694</c:v>
                </c:pt>
                <c:pt idx="125">
                  <c:v>152.0392966312767</c:v>
                </c:pt>
                <c:pt idx="126">
                  <c:v>151.2903324800459</c:v>
                </c:pt>
                <c:pt idx="127">
                  <c:v>150.697632005905</c:v>
                </c:pt>
                <c:pt idx="128">
                  <c:v>150.2676860513529</c:v>
                </c:pt>
                <c:pt idx="129">
                  <c:v>150.0032210047721</c:v>
                </c:pt>
                <c:pt idx="130">
                  <c:v>149.903124374629</c:v>
                </c:pt>
                <c:pt idx="131">
                  <c:v>149.9624651084303</c:v>
                </c:pt>
                <c:pt idx="132">
                  <c:v>150.1726081495523</c:v>
                </c:pt>
                <c:pt idx="133">
                  <c:v>150.5214204048053</c:v>
                </c:pt>
                <c:pt idx="134">
                  <c:v>150.9935630449536</c:v>
                </c:pt>
                <c:pt idx="135">
                  <c:v>151.5708629347916</c:v>
                </c:pt>
                <c:pt idx="136">
                  <c:v>152.2327540411228</c:v>
                </c:pt>
                <c:pt idx="137">
                  <c:v>152.9567779440775</c:v>
                </c:pt>
                <c:pt idx="138">
                  <c:v>153.7191311220503</c:v>
                </c:pt>
                <c:pt idx="139">
                  <c:v>154.495245528984</c:v>
                </c:pt>
                <c:pt idx="140">
                  <c:v>155.2603881631144</c:v>
                </c:pt>
                <c:pt idx="141">
                  <c:v>156.002576518221</c:v>
                </c:pt>
                <c:pt idx="142">
                  <c:v>156.7224992226744</c:v>
                </c:pt>
                <c:pt idx="143">
                  <c:v>157.4208242459941</c:v>
                </c:pt>
                <c:pt idx="144">
                  <c:v>158.0981995186143</c:v>
                </c:pt>
                <c:pt idx="145">
                  <c:v>158.7552535330559</c:v>
                </c:pt>
                <c:pt idx="146">
                  <c:v>159.3925959270642</c:v>
                </c:pt>
                <c:pt idx="147">
                  <c:v>160.0108180492523</c:v>
                </c:pt>
                <c:pt idx="148">
                  <c:v>160.6104935077747</c:v>
                </c:pt>
                <c:pt idx="149">
                  <c:v>161.1921787025415</c:v>
                </c:pt>
                <c:pt idx="150">
                  <c:v>161.7564133414652</c:v>
                </c:pt>
                <c:pt idx="151">
                  <c:v>162.3037209412213</c:v>
                </c:pt>
                <c:pt idx="152">
                  <c:v>162.8346093129846</c:v>
                </c:pt>
                <c:pt idx="153">
                  <c:v>163.3495710335951</c:v>
                </c:pt>
                <c:pt idx="154">
                  <c:v>163.8490839025872</c:v>
                </c:pt>
                <c:pt idx="155">
                  <c:v>164.3336113855096</c:v>
                </c:pt>
                <c:pt idx="156">
                  <c:v>164.8036030439443</c:v>
                </c:pt>
                <c:pt idx="157">
                  <c:v>165.259494952626</c:v>
                </c:pt>
                <c:pt idx="158">
                  <c:v>165.7017101040472</c:v>
                </c:pt>
                <c:pt idx="159">
                  <c:v>166.1306588009258</c:v>
                </c:pt>
                <c:pt idx="160">
                  <c:v>166.546739036898</c:v>
                </c:pt>
                <c:pt idx="161">
                  <c:v>166.9503368657911</c:v>
                </c:pt>
                <c:pt idx="162">
                  <c:v>167.3418267598174</c:v>
                </c:pt>
                <c:pt idx="163">
                  <c:v>167.7215719570228</c:v>
                </c:pt>
                <c:pt idx="164">
                  <c:v>168.0899247983122</c:v>
                </c:pt>
                <c:pt idx="165">
                  <c:v>168.4472270543628</c:v>
                </c:pt>
                <c:pt idx="166">
                  <c:v>168.7938102427319</c:v>
                </c:pt>
                <c:pt idx="167">
                  <c:v>169.12999593545</c:v>
                </c:pt>
                <c:pt idx="168">
                  <c:v>169.4560960573864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6.6P'!$L$8</c:f>
              <c:strCache>
                <c:ptCount val="1"/>
              </c:strCache>
            </c:strRef>
          </c:tx>
          <c:val>
            <c:numRef>
              <c:f>'Aufgabe 6.6P'!$L$10:$L$178</c:f>
              <c:numCache>
                <c:formatCode>0.00</c:formatCode>
                <c:ptCount val="16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454248"/>
        <c:axId val="2082888536"/>
      </c:lineChart>
      <c:catAx>
        <c:axId val="208145424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888536"/>
        <c:crosses val="autoZero"/>
        <c:auto val="1"/>
        <c:lblAlgn val="ctr"/>
        <c:lblOffset val="100"/>
        <c:noMultiLvlLbl val="0"/>
      </c:catAx>
      <c:valAx>
        <c:axId val="20828885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1454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519306445918"/>
          <c:y val="0.33652225981258"/>
          <c:w val="0.10021521581647"/>
          <c:h val="0.311746354899554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9151833538102"/>
          <c:y val="0.0601851851851852"/>
          <c:w val="0.786135195821506"/>
          <c:h val="0.822469378827647"/>
        </c:manualLayout>
      </c:layout>
      <c:lineChart>
        <c:grouping val="standard"/>
        <c:varyColors val="0"/>
        <c:ser>
          <c:idx val="2"/>
          <c:order val="0"/>
          <c:tx>
            <c:strRef>
              <c:f>'Aufgabe 6.6P'!$D$8</c:f>
              <c:strCache>
                <c:ptCount val="1"/>
                <c:pt idx="0">
                  <c:v>F(k)=kP*e(k)</c:v>
                </c:pt>
              </c:strCache>
            </c:strRef>
          </c:tx>
          <c:val>
            <c:numRef>
              <c:f>'Aufgabe 6.6P'!$D$10:$D$178</c:f>
              <c:numCache>
                <c:formatCode>0.00</c:formatCode>
                <c:ptCount val="169"/>
                <c:pt idx="0">
                  <c:v>5400.0</c:v>
                </c:pt>
                <c:pt idx="1">
                  <c:v>5238.0</c:v>
                </c:pt>
                <c:pt idx="2">
                  <c:v>5080.86</c:v>
                </c:pt>
                <c:pt idx="3">
                  <c:v>4928.4342</c:v>
                </c:pt>
                <c:pt idx="4">
                  <c:v>4780.581174</c:v>
                </c:pt>
                <c:pt idx="5">
                  <c:v>4637.16373878</c:v>
                </c:pt>
                <c:pt idx="6">
                  <c:v>4498.0488266166</c:v>
                </c:pt>
                <c:pt idx="7">
                  <c:v>4363.107361818102</c:v>
                </c:pt>
                <c:pt idx="8">
                  <c:v>4232.214140963558</c:v>
                </c:pt>
                <c:pt idx="9">
                  <c:v>4105.247716734652</c:v>
                </c:pt>
                <c:pt idx="10">
                  <c:v>3982.090285232613</c:v>
                </c:pt>
                <c:pt idx="11">
                  <c:v>3862.627576675634</c:v>
                </c:pt>
                <c:pt idx="12">
                  <c:v>3746.748749375365</c:v>
                </c:pt>
                <c:pt idx="13">
                  <c:v>3634.346286894104</c:v>
                </c:pt>
                <c:pt idx="14">
                  <c:v>3525.31589828728</c:v>
                </c:pt>
                <c:pt idx="15">
                  <c:v>3419.556421338662</c:v>
                </c:pt>
                <c:pt idx="16">
                  <c:v>3316.969728698502</c:v>
                </c:pt>
                <c:pt idx="17">
                  <c:v>3217.460636837547</c:v>
                </c:pt>
                <c:pt idx="18">
                  <c:v>3120.936817732421</c:v>
                </c:pt>
                <c:pt idx="19">
                  <c:v>3027.308713200448</c:v>
                </c:pt>
                <c:pt idx="20">
                  <c:v>2936.489451804435</c:v>
                </c:pt>
                <c:pt idx="21">
                  <c:v>2848.394768250302</c:v>
                </c:pt>
                <c:pt idx="22">
                  <c:v>2762.942925202793</c:v>
                </c:pt>
                <c:pt idx="23">
                  <c:v>2680.054637446709</c:v>
                </c:pt>
                <c:pt idx="24">
                  <c:v>2599.652998323308</c:v>
                </c:pt>
                <c:pt idx="25">
                  <c:v>2521.663408373608</c:v>
                </c:pt>
                <c:pt idx="26">
                  <c:v>2446.0135061224</c:v>
                </c:pt>
                <c:pt idx="27">
                  <c:v>2372.633100938728</c:v>
                </c:pt>
                <c:pt idx="28">
                  <c:v>2301.454107910566</c:v>
                </c:pt>
                <c:pt idx="29">
                  <c:v>2232.410484673249</c:v>
                </c:pt>
                <c:pt idx="30">
                  <c:v>2165.438170133051</c:v>
                </c:pt>
                <c:pt idx="31">
                  <c:v>2100.475025029059</c:v>
                </c:pt>
                <c:pt idx="32">
                  <c:v>2037.460774278188</c:v>
                </c:pt>
                <c:pt idx="33">
                  <c:v>1976.336951049842</c:v>
                </c:pt>
                <c:pt idx="34">
                  <c:v>1917.046842518347</c:v>
                </c:pt>
                <c:pt idx="35">
                  <c:v>1859.535437242796</c:v>
                </c:pt>
                <c:pt idx="36">
                  <c:v>1803.749374125513</c:v>
                </c:pt>
                <c:pt idx="37">
                  <c:v>1749.636892901747</c:v>
                </c:pt>
                <c:pt idx="38">
                  <c:v>1697.147786114695</c:v>
                </c:pt>
                <c:pt idx="39">
                  <c:v>1646.233352531254</c:v>
                </c:pt>
                <c:pt idx="40">
                  <c:v>1596.846351955316</c:v>
                </c:pt>
                <c:pt idx="41">
                  <c:v>1548.940961396657</c:v>
                </c:pt>
                <c:pt idx="42">
                  <c:v>1502.472732554757</c:v>
                </c:pt>
                <c:pt idx="43">
                  <c:v>1457.398550578114</c:v>
                </c:pt>
                <c:pt idx="44">
                  <c:v>1413.676594060771</c:v>
                </c:pt>
                <c:pt idx="45">
                  <c:v>1371.266296238948</c:v>
                </c:pt>
                <c:pt idx="46">
                  <c:v>1330.128307351779</c:v>
                </c:pt>
                <c:pt idx="47">
                  <c:v>1290.224458131226</c:v>
                </c:pt>
                <c:pt idx="48">
                  <c:v>1251.517724387289</c:v>
                </c:pt>
                <c:pt idx="49">
                  <c:v>1213.97219265567</c:v>
                </c:pt>
                <c:pt idx="50">
                  <c:v>1177.553026876</c:v>
                </c:pt>
                <c:pt idx="51">
                  <c:v>1142.22643606972</c:v>
                </c:pt>
                <c:pt idx="52">
                  <c:v>1107.959642987628</c:v>
                </c:pt>
                <c:pt idx="53">
                  <c:v>1074.720853698</c:v>
                </c:pt>
                <c:pt idx="54">
                  <c:v>1042.479228087059</c:v>
                </c:pt>
                <c:pt idx="55">
                  <c:v>1011.204851244448</c:v>
                </c:pt>
                <c:pt idx="56">
                  <c:v>980.8687057071142</c:v>
                </c:pt>
                <c:pt idx="57">
                  <c:v>951.442644535901</c:v>
                </c:pt>
                <c:pt idx="58">
                  <c:v>922.8993651998244</c:v>
                </c:pt>
                <c:pt idx="59">
                  <c:v>895.21238424383</c:v>
                </c:pt>
                <c:pt idx="60">
                  <c:v>868.3560127165154</c:v>
                </c:pt>
                <c:pt idx="61">
                  <c:v>842.3053323350202</c:v>
                </c:pt>
                <c:pt idx="62">
                  <c:v>817.0361723649694</c:v>
                </c:pt>
                <c:pt idx="63">
                  <c:v>792.5250871940204</c:v>
                </c:pt>
                <c:pt idx="64">
                  <c:v>768.7493345782</c:v>
                </c:pt>
                <c:pt idx="65">
                  <c:v>745.6868545408544</c:v>
                </c:pt>
                <c:pt idx="66">
                  <c:v>723.316248904629</c:v>
                </c:pt>
                <c:pt idx="67">
                  <c:v>701.61676143749</c:v>
                </c:pt>
                <c:pt idx="68">
                  <c:v>680.5682585943651</c:v>
                </c:pt>
                <c:pt idx="69">
                  <c:v>660.1512108365339</c:v>
                </c:pt>
                <c:pt idx="70">
                  <c:v>640.3466745114374</c:v>
                </c:pt>
                <c:pt idx="71">
                  <c:v>621.136274276094</c:v>
                </c:pt>
                <c:pt idx="72">
                  <c:v>602.5021860478111</c:v>
                </c:pt>
                <c:pt idx="73">
                  <c:v>584.4271204663767</c:v>
                </c:pt>
                <c:pt idx="74">
                  <c:v>566.894306852385</c:v>
                </c:pt>
                <c:pt idx="75">
                  <c:v>549.8874776468132</c:v>
                </c:pt>
                <c:pt idx="76">
                  <c:v>533.3908533174088</c:v>
                </c:pt>
                <c:pt idx="77">
                  <c:v>517.3891277178868</c:v>
                </c:pt>
                <c:pt idx="78">
                  <c:v>501.8674538863504</c:v>
                </c:pt>
                <c:pt idx="79">
                  <c:v>486.81143026976</c:v>
                </c:pt>
                <c:pt idx="80">
                  <c:v>472.207087361667</c:v>
                </c:pt>
                <c:pt idx="81">
                  <c:v>458.0408747408174</c:v>
                </c:pt>
                <c:pt idx="82">
                  <c:v>444.2996484985929</c:v>
                </c:pt>
                <c:pt idx="83">
                  <c:v>430.9706590436349</c:v>
                </c:pt>
                <c:pt idx="84">
                  <c:v>418.0415392723262</c:v>
                </c:pt>
                <c:pt idx="85">
                  <c:v>405.500293094156</c:v>
                </c:pt>
                <c:pt idx="86">
                  <c:v>393.3352843013315</c:v>
                </c:pt>
                <c:pt idx="87">
                  <c:v>381.5352257722913</c:v>
                </c:pt>
                <c:pt idx="88">
                  <c:v>370.0891689991224</c:v>
                </c:pt>
                <c:pt idx="89">
                  <c:v>358.9864939291485</c:v>
                </c:pt>
                <c:pt idx="90">
                  <c:v>348.2168991112744</c:v>
                </c:pt>
                <c:pt idx="91">
                  <c:v>337.7703921379364</c:v>
                </c:pt>
                <c:pt idx="92">
                  <c:v>327.6372803737982</c:v>
                </c:pt>
                <c:pt idx="93">
                  <c:v>317.808161962584</c:v>
                </c:pt>
                <c:pt idx="94">
                  <c:v>308.2739171037068</c:v>
                </c:pt>
                <c:pt idx="95">
                  <c:v>299.0256995905952</c:v>
                </c:pt>
                <c:pt idx="96">
                  <c:v>290.0549286028772</c:v>
                </c:pt>
                <c:pt idx="97">
                  <c:v>281.353280744791</c:v>
                </c:pt>
                <c:pt idx="98">
                  <c:v>272.9126823224476</c:v>
                </c:pt>
                <c:pt idx="99">
                  <c:v>264.7253018527744</c:v>
                </c:pt>
                <c:pt idx="100">
                  <c:v>256.7835427971914</c:v>
                </c:pt>
                <c:pt idx="101">
                  <c:v>249.0800365132756</c:v>
                </c:pt>
                <c:pt idx="102">
                  <c:v>241.9769852000235</c:v>
                </c:pt>
                <c:pt idx="103">
                  <c:v>236.1859801551685</c:v>
                </c:pt>
                <c:pt idx="104">
                  <c:v>232.3702050248627</c:v>
                </c:pt>
                <c:pt idx="105">
                  <c:v>231.1285890428681</c:v>
                </c:pt>
                <c:pt idx="106">
                  <c:v>232.9815279359855</c:v>
                </c:pt>
                <c:pt idx="107">
                  <c:v>238.3585245291314</c:v>
                </c:pt>
                <c:pt idx="108">
                  <c:v>247.5880538010711</c:v>
                </c:pt>
                <c:pt idx="109">
                  <c:v>260.8899023557908</c:v>
                </c:pt>
                <c:pt idx="110">
                  <c:v>278.3701713339101</c:v>
                </c:pt>
                <c:pt idx="111">
                  <c:v>300.019066193893</c:v>
                </c:pt>
                <c:pt idx="112">
                  <c:v>325.7115281592831</c:v>
                </c:pt>
                <c:pt idx="113">
                  <c:v>355.2106921457528</c:v>
                </c:pt>
                <c:pt idx="114">
                  <c:v>388.1740863735663</c:v>
                </c:pt>
                <c:pt idx="115">
                  <c:v>424.1624213511332</c:v>
                </c:pt>
                <c:pt idx="116">
                  <c:v>462.650752146196</c:v>
                </c:pt>
                <c:pt idx="117">
                  <c:v>503.0417394130586</c:v>
                </c:pt>
                <c:pt idx="118">
                  <c:v>544.6806829563178</c:v>
                </c:pt>
                <c:pt idx="119">
                  <c:v>586.8719579564831</c:v>
                </c:pt>
                <c:pt idx="120">
                  <c:v>628.8964494356426</c:v>
                </c:pt>
                <c:pt idx="121">
                  <c:v>670.0295559525733</c:v>
                </c:pt>
                <c:pt idx="122">
                  <c:v>709.5593194918501</c:v>
                </c:pt>
                <c:pt idx="123">
                  <c:v>746.804235395949</c:v>
                </c:pt>
                <c:pt idx="124">
                  <c:v>781.1303040597217</c:v>
                </c:pt>
                <c:pt idx="125">
                  <c:v>811.9669047691787</c:v>
                </c:pt>
                <c:pt idx="126">
                  <c:v>838.8211010616999</c:v>
                </c:pt>
                <c:pt idx="127">
                  <c:v>861.2900255986232</c:v>
                </c:pt>
                <c:pt idx="128">
                  <c:v>879.0710398228507</c:v>
                </c:pt>
                <c:pt idx="129">
                  <c:v>891.9694184594135</c:v>
                </c:pt>
                <c:pt idx="130">
                  <c:v>899.9033698568382</c:v>
                </c:pt>
                <c:pt idx="131">
                  <c:v>902.9062687611329</c:v>
                </c:pt>
                <c:pt idx="132">
                  <c:v>901.1260467470915</c:v>
                </c:pt>
                <c:pt idx="133">
                  <c:v>894.82175551343</c:v>
                </c:pt>
                <c:pt idx="134">
                  <c:v>884.3573878558411</c:v>
                </c:pt>
                <c:pt idx="135">
                  <c:v>870.1931086513914</c:v>
                </c:pt>
                <c:pt idx="136">
                  <c:v>852.874111956253</c:v>
                </c:pt>
                <c:pt idx="137">
                  <c:v>833.0173787663168</c:v>
                </c:pt>
                <c:pt idx="138">
                  <c:v>811.296661677676</c:v>
                </c:pt>
                <c:pt idx="139">
                  <c:v>788.426066338491</c:v>
                </c:pt>
                <c:pt idx="140">
                  <c:v>765.1426341304821</c:v>
                </c:pt>
                <c:pt idx="141">
                  <c:v>742.1883551065675</c:v>
                </c:pt>
                <c:pt idx="142">
                  <c:v>719.9227044533702</c:v>
                </c:pt>
                <c:pt idx="143">
                  <c:v>698.3250233197689</c:v>
                </c:pt>
                <c:pt idx="144">
                  <c:v>677.3752726201757</c:v>
                </c:pt>
                <c:pt idx="145">
                  <c:v>657.0540144415708</c:v>
                </c:pt>
                <c:pt idx="146">
                  <c:v>637.3423940083237</c:v>
                </c:pt>
                <c:pt idx="147">
                  <c:v>618.2221221880739</c:v>
                </c:pt>
                <c:pt idx="148">
                  <c:v>599.6754585224311</c:v>
                </c:pt>
                <c:pt idx="149">
                  <c:v>581.6851947667583</c:v>
                </c:pt>
                <c:pt idx="150">
                  <c:v>564.234638923756</c:v>
                </c:pt>
                <c:pt idx="151">
                  <c:v>547.3075997560434</c:v>
                </c:pt>
                <c:pt idx="152">
                  <c:v>530.8883717633623</c:v>
                </c:pt>
                <c:pt idx="153">
                  <c:v>514.9617206104617</c:v>
                </c:pt>
                <c:pt idx="154">
                  <c:v>499.5128689921475</c:v>
                </c:pt>
                <c:pt idx="155">
                  <c:v>484.5274829223828</c:v>
                </c:pt>
                <c:pt idx="156">
                  <c:v>469.9916584347116</c:v>
                </c:pt>
                <c:pt idx="157">
                  <c:v>455.8919086816704</c:v>
                </c:pt>
                <c:pt idx="158">
                  <c:v>442.21515142122</c:v>
                </c:pt>
                <c:pt idx="159">
                  <c:v>428.9486968785837</c:v>
                </c:pt>
                <c:pt idx="160">
                  <c:v>416.080235972226</c:v>
                </c:pt>
                <c:pt idx="161">
                  <c:v>403.597828893059</c:v>
                </c:pt>
                <c:pt idx="162">
                  <c:v>391.4898940262674</c:v>
                </c:pt>
                <c:pt idx="163">
                  <c:v>379.745197205479</c:v>
                </c:pt>
                <c:pt idx="164">
                  <c:v>368.352841289315</c:v>
                </c:pt>
                <c:pt idx="165">
                  <c:v>357.3022560506354</c:v>
                </c:pt>
                <c:pt idx="166">
                  <c:v>346.583188369116</c:v>
                </c:pt>
                <c:pt idx="167">
                  <c:v>336.1856927180423</c:v>
                </c:pt>
                <c:pt idx="168">
                  <c:v>326.1001219365014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'Aufgabe 6.6P'!$E$8</c:f>
              <c:strCache>
                <c:ptCount val="1"/>
                <c:pt idx="0">
                  <c:v> Fab(k)</c:v>
                </c:pt>
              </c:strCache>
            </c:strRef>
          </c:tx>
          <c:val>
            <c:numRef>
              <c:f>'Aufgabe 6.6P'!$E$10:$E$178</c:f>
              <c:numCache>
                <c:formatCode>0.00</c:formatCode>
                <c:ptCount val="16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12.31165940486223</c:v>
                </c:pt>
                <c:pt idx="102">
                  <c:v>48.94348370484647</c:v>
                </c:pt>
                <c:pt idx="103">
                  <c:v>108.9934758116321</c:v>
                </c:pt>
                <c:pt idx="104">
                  <c:v>190.9830056250526</c:v>
                </c:pt>
                <c:pt idx="105">
                  <c:v>292.8932188134524</c:v>
                </c:pt>
                <c:pt idx="106">
                  <c:v>412.2147477075268</c:v>
                </c:pt>
                <c:pt idx="107">
                  <c:v>546.0095002604532</c:v>
                </c:pt>
                <c:pt idx="108">
                  <c:v>690.9830056250525</c:v>
                </c:pt>
                <c:pt idx="109">
                  <c:v>843.565534959769</c:v>
                </c:pt>
                <c:pt idx="110">
                  <c:v>999.9999999999999</c:v>
                </c:pt>
                <c:pt idx="111">
                  <c:v>1156.434465040231</c:v>
                </c:pt>
                <c:pt idx="112">
                  <c:v>1309.016994374947</c:v>
                </c:pt>
                <c:pt idx="113">
                  <c:v>1453.990499739547</c:v>
                </c:pt>
                <c:pt idx="114">
                  <c:v>1587.785252292473</c:v>
                </c:pt>
                <c:pt idx="115">
                  <c:v>1707.106781186548</c:v>
                </c:pt>
                <c:pt idx="116">
                  <c:v>1809.016994374947</c:v>
                </c:pt>
                <c:pt idx="117">
                  <c:v>1891.006524188368</c:v>
                </c:pt>
                <c:pt idx="118">
                  <c:v>1951.056516295154</c:v>
                </c:pt>
                <c:pt idx="119">
                  <c:v>1987.688340595138</c:v>
                </c:pt>
                <c:pt idx="120">
                  <c:v>2000.0</c:v>
                </c:pt>
                <c:pt idx="121">
                  <c:v>1987.688340595138</c:v>
                </c:pt>
                <c:pt idx="122">
                  <c:v>1951.056516295154</c:v>
                </c:pt>
                <c:pt idx="123">
                  <c:v>1891.006524188368</c:v>
                </c:pt>
                <c:pt idx="124">
                  <c:v>1809.016994374947</c:v>
                </c:pt>
                <c:pt idx="125">
                  <c:v>1707.106781186548</c:v>
                </c:pt>
                <c:pt idx="126">
                  <c:v>1587.785252292472</c:v>
                </c:pt>
                <c:pt idx="127">
                  <c:v>1453.990499739547</c:v>
                </c:pt>
                <c:pt idx="128">
                  <c:v>1309.016994374947</c:v>
                </c:pt>
                <c:pt idx="129">
                  <c:v>1156.434465040231</c:v>
                </c:pt>
                <c:pt idx="130">
                  <c:v>1000.0</c:v>
                </c:pt>
                <c:pt idx="131">
                  <c:v>843.5655349597692</c:v>
                </c:pt>
                <c:pt idx="132">
                  <c:v>690.9830056250527</c:v>
                </c:pt>
                <c:pt idx="133">
                  <c:v>546.0095002604525</c:v>
                </c:pt>
                <c:pt idx="134">
                  <c:v>412.2147477075263</c:v>
                </c:pt>
                <c:pt idx="135">
                  <c:v>292.8932188134527</c:v>
                </c:pt>
                <c:pt idx="136">
                  <c:v>190.9830056250527</c:v>
                </c:pt>
                <c:pt idx="137">
                  <c:v>108.9934758116319</c:v>
                </c:pt>
                <c:pt idx="138">
                  <c:v>48.94348370484647</c:v>
                </c:pt>
                <c:pt idx="139">
                  <c:v>12.31165940486234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807976"/>
        <c:axId val="2082810952"/>
      </c:lineChart>
      <c:catAx>
        <c:axId val="208280797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810952"/>
        <c:crosses val="autoZero"/>
        <c:auto val="1"/>
        <c:lblAlgn val="ctr"/>
        <c:lblOffset val="100"/>
        <c:noMultiLvlLbl val="0"/>
      </c:catAx>
      <c:valAx>
        <c:axId val="20828109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2807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02794005588"/>
          <c:y val="0.38273257509478"/>
          <c:w val="0.0826540875938895"/>
          <c:h val="0.253053368328959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9151833538102"/>
          <c:y val="0.0601851851851852"/>
          <c:w val="0.786135195821506"/>
          <c:h val="0.822469378827647"/>
        </c:manualLayout>
      </c:layout>
      <c:lineChart>
        <c:grouping val="standard"/>
        <c:varyColors val="0"/>
        <c:ser>
          <c:idx val="3"/>
          <c:order val="0"/>
          <c:tx>
            <c:strRef>
              <c:f>'Aufgabe 6.7'!$F$11</c:f>
              <c:strCache>
                <c:ptCount val="1"/>
                <c:pt idx="0">
                  <c:v> v1(k)</c:v>
                </c:pt>
              </c:strCache>
            </c:strRef>
          </c:tx>
          <c:val>
            <c:numRef>
              <c:f>'Aufgabe 6.7'!$F$13:$F$181</c:f>
              <c:numCache>
                <c:formatCode>0.00</c:formatCode>
                <c:ptCount val="169"/>
                <c:pt idx="0">
                  <c:v>22.23414634146341</c:v>
                </c:pt>
                <c:pt idx="1">
                  <c:v>22.45001784651993</c:v>
                </c:pt>
                <c:pt idx="2">
                  <c:v>22.64904084386472</c:v>
                </c:pt>
                <c:pt idx="3">
                  <c:v>22.83253033897772</c:v>
                </c:pt>
                <c:pt idx="4">
                  <c:v>23.00169870276483</c:v>
                </c:pt>
                <c:pt idx="5">
                  <c:v>23.15766368206123</c:v>
                </c:pt>
                <c:pt idx="6">
                  <c:v>23.30145578492475</c:v>
                </c:pt>
                <c:pt idx="7">
                  <c:v>23.43402508951599</c:v>
                </c:pt>
                <c:pt idx="8">
                  <c:v>23.55624752155378</c:v>
                </c:pt>
                <c:pt idx="9">
                  <c:v>23.66893064182275</c:v>
                </c:pt>
                <c:pt idx="10">
                  <c:v>23.77281898197317</c:v>
                </c:pt>
                <c:pt idx="11">
                  <c:v>23.86859896386795</c:v>
                </c:pt>
                <c:pt idx="12">
                  <c:v>23.9569034349807</c:v>
                </c:pt>
                <c:pt idx="13">
                  <c:v>24.03831584981148</c:v>
                </c:pt>
                <c:pt idx="14">
                  <c:v>24.11337412494815</c:v>
                </c:pt>
                <c:pt idx="15">
                  <c:v>24.18257419324488</c:v>
                </c:pt>
                <c:pt idx="16">
                  <c:v>24.24637328060138</c:v>
                </c:pt>
                <c:pt idx="17">
                  <c:v>24.30519292699347</c:v>
                </c:pt>
                <c:pt idx="18">
                  <c:v>24.35942177171593</c:v>
                </c:pt>
                <c:pt idx="19">
                  <c:v>24.40941812124055</c:v>
                </c:pt>
                <c:pt idx="20">
                  <c:v>24.45551231665592</c:v>
                </c:pt>
                <c:pt idx="21">
                  <c:v>24.49800891633156</c:v>
                </c:pt>
                <c:pt idx="22">
                  <c:v>24.53718870822763</c:v>
                </c:pt>
                <c:pt idx="23">
                  <c:v>24.57331056514645</c:v>
                </c:pt>
                <c:pt idx="24">
                  <c:v>24.60661315518381</c:v>
                </c:pt>
                <c:pt idx="25">
                  <c:v>24.63731651868166</c:v>
                </c:pt>
                <c:pt idx="26">
                  <c:v>24.66562352210163</c:v>
                </c:pt>
                <c:pt idx="27">
                  <c:v>24.69172119842541</c:v>
                </c:pt>
                <c:pt idx="28">
                  <c:v>24.71578198293855</c:v>
                </c:pt>
                <c:pt idx="29">
                  <c:v>24.73796485256286</c:v>
                </c:pt>
                <c:pt idx="30">
                  <c:v>24.75841637626528</c:v>
                </c:pt>
                <c:pt idx="31">
                  <c:v>24.7772716834836</c:v>
                </c:pt>
                <c:pt idx="32">
                  <c:v>24.79465535696781</c:v>
                </c:pt>
                <c:pt idx="33">
                  <c:v>24.81068225593618</c:v>
                </c:pt>
                <c:pt idx="34">
                  <c:v>24.82545827498506</c:v>
                </c:pt>
                <c:pt idx="35">
                  <c:v>24.83908104376671</c:v>
                </c:pt>
                <c:pt idx="36">
                  <c:v>24.85164057205809</c:v>
                </c:pt>
                <c:pt idx="37">
                  <c:v>24.86321984448283</c:v>
                </c:pt>
                <c:pt idx="38">
                  <c:v>24.87389536881588</c:v>
                </c:pt>
                <c:pt idx="39">
                  <c:v>24.88373768149367</c:v>
                </c:pt>
                <c:pt idx="40">
                  <c:v>24.89281181366977</c:v>
                </c:pt>
                <c:pt idx="41">
                  <c:v>24.90117772089555</c:v>
                </c:pt>
                <c:pt idx="42">
                  <c:v>24.90889067926468</c:v>
                </c:pt>
                <c:pt idx="43">
                  <c:v>24.91600165063915</c:v>
                </c:pt>
                <c:pt idx="44">
                  <c:v>24.92255761936975</c:v>
                </c:pt>
                <c:pt idx="45">
                  <c:v>24.92860190273602</c:v>
                </c:pt>
                <c:pt idx="46">
                  <c:v>24.93417443715662</c:v>
                </c:pt>
                <c:pt idx="47">
                  <c:v>24.93931204206147</c:v>
                </c:pt>
                <c:pt idx="48">
                  <c:v>24.94404866316887</c:v>
                </c:pt>
                <c:pt idx="49">
                  <c:v>24.94841559677521</c:v>
                </c:pt>
                <c:pt idx="50">
                  <c:v>24.95244169653909</c:v>
                </c:pt>
                <c:pt idx="51">
                  <c:v>24.95615356412629</c:v>
                </c:pt>
                <c:pt idx="52">
                  <c:v>24.95957572497497</c:v>
                </c:pt>
                <c:pt idx="53">
                  <c:v>24.96273079034278</c:v>
                </c:pt>
                <c:pt idx="54">
                  <c:v>24.96563960670628</c:v>
                </c:pt>
                <c:pt idx="55">
                  <c:v>24.96832139349993</c:v>
                </c:pt>
                <c:pt idx="56">
                  <c:v>24.97079387010482</c:v>
                </c:pt>
                <c:pt idx="57">
                  <c:v>24.97307337292591</c:v>
                </c:pt>
                <c:pt idx="58">
                  <c:v>24.9751749633317</c:v>
                </c:pt>
                <c:pt idx="59">
                  <c:v>24.97711252716923</c:v>
                </c:pt>
                <c:pt idx="60">
                  <c:v>24.97889886651211</c:v>
                </c:pt>
                <c:pt idx="61">
                  <c:v>24.98054578424776</c:v>
                </c:pt>
                <c:pt idx="62">
                  <c:v>24.98206416206257</c:v>
                </c:pt>
                <c:pt idx="63">
                  <c:v>24.98346403234061</c:v>
                </c:pt>
                <c:pt idx="64">
                  <c:v>24.98475464445062</c:v>
                </c:pt>
                <c:pt idx="65">
                  <c:v>24.98594452585935</c:v>
                </c:pt>
                <c:pt idx="66">
                  <c:v>24.98704153847521</c:v>
                </c:pt>
                <c:pt idx="67">
                  <c:v>24.98805293059422</c:v>
                </c:pt>
                <c:pt idx="68">
                  <c:v>24.98898538479174</c:v>
                </c:pt>
                <c:pt idx="69">
                  <c:v>24.98984506207629</c:v>
                </c:pt>
                <c:pt idx="70">
                  <c:v>24.99063764259717</c:v>
                </c:pt>
                <c:pt idx="71">
                  <c:v>24.99136836317496</c:v>
                </c:pt>
                <c:pt idx="72">
                  <c:v>24.99204205190277</c:v>
                </c:pt>
                <c:pt idx="73">
                  <c:v>24.99266316004694</c:v>
                </c:pt>
                <c:pt idx="74">
                  <c:v>24.99323579145792</c:v>
                </c:pt>
                <c:pt idx="75">
                  <c:v>24.99376372968559</c:v>
                </c:pt>
                <c:pt idx="76">
                  <c:v>24.99425046297843</c:v>
                </c:pt>
                <c:pt idx="77">
                  <c:v>24.99469920733133</c:v>
                </c:pt>
                <c:pt idx="78">
                  <c:v>24.99511292773474</c:v>
                </c:pt>
                <c:pt idx="79">
                  <c:v>24.99549435776521</c:v>
                </c:pt>
                <c:pt idx="80">
                  <c:v>24.99584601764695</c:v>
                </c:pt>
                <c:pt idx="81">
                  <c:v>24.99617023090378</c:v>
                </c:pt>
                <c:pt idx="82">
                  <c:v>24.99646913971129</c:v>
                </c:pt>
                <c:pt idx="83">
                  <c:v>24.99674471905089</c:v>
                </c:pt>
                <c:pt idx="84">
                  <c:v>24.99699878975912</c:v>
                </c:pt>
                <c:pt idx="85">
                  <c:v>24.99723303055841</c:v>
                </c:pt>
                <c:pt idx="86">
                  <c:v>24.99744898914897</c:v>
                </c:pt>
                <c:pt idx="87">
                  <c:v>24.99764809243491</c:v>
                </c:pt>
                <c:pt idx="88">
                  <c:v>24.99783165595219</c:v>
                </c:pt>
                <c:pt idx="89">
                  <c:v>24.9980008925608</c:v>
                </c:pt>
                <c:pt idx="90">
                  <c:v>24.99815692045849</c:v>
                </c:pt>
                <c:pt idx="91">
                  <c:v>24.99830077056905</c:v>
                </c:pt>
                <c:pt idx="92">
                  <c:v>24.99843339335391</c:v>
                </c:pt>
                <c:pt idx="93">
                  <c:v>24.99855566509214</c:v>
                </c:pt>
                <c:pt idx="94">
                  <c:v>24.99866839367032</c:v>
                </c:pt>
                <c:pt idx="95">
                  <c:v>24.99877232392044</c:v>
                </c:pt>
                <c:pt idx="96">
                  <c:v>24.99886814254129</c:v>
                </c:pt>
                <c:pt idx="97">
                  <c:v>24.99895648263563</c:v>
                </c:pt>
                <c:pt idx="98">
                  <c:v>24.99903792789334</c:v>
                </c:pt>
                <c:pt idx="99">
                  <c:v>24.99911301644801</c:v>
                </c:pt>
                <c:pt idx="100">
                  <c:v>24.99918224443255</c:v>
                </c:pt>
                <c:pt idx="101">
                  <c:v>24.99324038174277</c:v>
                </c:pt>
                <c:pt idx="102">
                  <c:v>24.96989309160438</c:v>
                </c:pt>
                <c:pt idx="103">
                  <c:v>24.91907534991251</c:v>
                </c:pt>
                <c:pt idx="104">
                  <c:v>24.83222897839493</c:v>
                </c:pt>
                <c:pt idx="105">
                  <c:v>24.70244856114779</c:v>
                </c:pt>
                <c:pt idx="106">
                  <c:v>24.52459172334722</c:v>
                </c:pt>
                <c:pt idx="107">
                  <c:v>24.29535066188576</c:v>
                </c:pt>
                <c:pt idx="108">
                  <c:v>24.0132828026044</c:v>
                </c:pt>
                <c:pt idx="109">
                  <c:v>23.67879949364027</c:v>
                </c:pt>
                <c:pt idx="110">
                  <c:v>23.29411270389274</c:v>
                </c:pt>
                <c:pt idx="111">
                  <c:v>22.86314075381319</c:v>
                </c:pt>
                <c:pt idx="112">
                  <c:v>22.39137513674731</c:v>
                </c:pt>
                <c:pt idx="113">
                  <c:v>21.88571146766482</c:v>
                </c:pt>
                <c:pt idx="114">
                  <c:v>21.35424849833855</c:v>
                </c:pt>
                <c:pt idx="115">
                  <c:v>20.80605994179187</c:v>
                </c:pt>
                <c:pt idx="116">
                  <c:v>20.25094453444472</c:v>
                </c:pt>
                <c:pt idx="117">
                  <c:v>19.6991603150791</c:v>
                </c:pt>
                <c:pt idx="118">
                  <c:v>19.1611495020509</c:v>
                </c:pt>
                <c:pt idx="119">
                  <c:v>18.64726059428345</c:v>
                </c:pt>
                <c:pt idx="120">
                  <c:v>18.1674744015589</c:v>
                </c:pt>
                <c:pt idx="121">
                  <c:v>17.73114062358594</c:v>
                </c:pt>
                <c:pt idx="122">
                  <c:v>17.34673134745477</c:v>
                </c:pt>
                <c:pt idx="123">
                  <c:v>17.02161742561031</c:v>
                </c:pt>
                <c:pt idx="124">
                  <c:v>16.76187314147734</c:v>
                </c:pt>
                <c:pt idx="125">
                  <c:v>16.57211388107592</c:v>
                </c:pt>
                <c:pt idx="126">
                  <c:v>16.45537072338586</c:v>
                </c:pt>
                <c:pt idx="127">
                  <c:v>16.41300495973645</c:v>
                </c:pt>
                <c:pt idx="128">
                  <c:v>16.444664575379</c:v>
                </c:pt>
                <c:pt idx="129">
                  <c:v>16.54828369874443</c:v>
                </c:pt>
                <c:pt idx="130">
                  <c:v>16.72012497103755</c:v>
                </c:pt>
                <c:pt idx="131">
                  <c:v>16.9548637367323</c:v>
                </c:pt>
                <c:pt idx="132">
                  <c:v>17.24571193014585</c:v>
                </c:pt>
                <c:pt idx="133">
                  <c:v>17.58457855986108</c:v>
                </c:pt>
                <c:pt idx="134">
                  <c:v>17.96226279533167</c:v>
                </c:pt>
                <c:pt idx="135">
                  <c:v>18.36867486066508</c:v>
                </c:pt>
                <c:pt idx="136">
                  <c:v>18.79307925903997</c:v>
                </c:pt>
                <c:pt idx="137">
                  <c:v>19.22435430427996</c:v>
                </c:pt>
                <c:pt idx="138">
                  <c:v>19.65126153726062</c:v>
                </c:pt>
                <c:pt idx="139">
                  <c:v>20.06271836391108</c:v>
                </c:pt>
                <c:pt idx="140">
                  <c:v>20.44806717453266</c:v>
                </c:pt>
                <c:pt idx="141">
                  <c:v>20.80333998042279</c:v>
                </c:pt>
                <c:pt idx="142">
                  <c:v>21.13088417707272</c:v>
                </c:pt>
                <c:pt idx="143">
                  <c:v>21.43286394861827</c:v>
                </c:pt>
                <c:pt idx="144">
                  <c:v>21.7112745672627</c:v>
                </c:pt>
                <c:pt idx="145">
                  <c:v>21.96795557664707</c:v>
                </c:pt>
                <c:pt idx="146">
                  <c:v>22.20460294627462</c:v>
                </c:pt>
                <c:pt idx="147">
                  <c:v>22.42278027729709</c:v>
                </c:pt>
                <c:pt idx="148">
                  <c:v>22.62392913370318</c:v>
                </c:pt>
                <c:pt idx="149">
                  <c:v>22.80937856717025</c:v>
                </c:pt>
                <c:pt idx="150">
                  <c:v>22.98035389851306</c:v>
                </c:pt>
                <c:pt idx="151">
                  <c:v>23.13798481375106</c:v>
                </c:pt>
                <c:pt idx="152">
                  <c:v>23.28331282828757</c:v>
                </c:pt>
                <c:pt idx="153">
                  <c:v>23.41729816851878</c:v>
                </c:pt>
                <c:pt idx="154">
                  <c:v>23.54082611634171</c:v>
                </c:pt>
                <c:pt idx="155">
                  <c:v>23.6547128584809</c:v>
                </c:pt>
                <c:pt idx="156">
                  <c:v>23.75971087928239</c:v>
                </c:pt>
                <c:pt idx="157">
                  <c:v>23.85651393260669</c:v>
                </c:pt>
                <c:pt idx="158">
                  <c:v>23.94576162567154</c:v>
                </c:pt>
                <c:pt idx="159">
                  <c:v>24.02804364513132</c:v>
                </c:pt>
                <c:pt idx="160">
                  <c:v>24.1039036533162</c:v>
                </c:pt>
                <c:pt idx="161">
                  <c:v>24.17384288037445</c:v>
                </c:pt>
                <c:pt idx="162">
                  <c:v>24.23832343605254</c:v>
                </c:pt>
                <c:pt idx="163">
                  <c:v>24.29777136299479</c:v>
                </c:pt>
                <c:pt idx="164">
                  <c:v>24.35257945173666</c:v>
                </c:pt>
                <c:pt idx="165">
                  <c:v>24.40310983599136</c:v>
                </c:pt>
                <c:pt idx="166">
                  <c:v>24.4496963853774</c:v>
                </c:pt>
                <c:pt idx="167">
                  <c:v>24.49264691139673</c:v>
                </c:pt>
                <c:pt idx="168">
                  <c:v>24.53224520123894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'Aufgabe 6.7'!$E$11</c:f>
              <c:strCache>
                <c:ptCount val="1"/>
                <c:pt idx="0">
                  <c:v> v(k) unger.</c:v>
                </c:pt>
              </c:strCache>
            </c:strRef>
          </c:tx>
          <c:val>
            <c:numRef>
              <c:f>'Aufgabe 6.7'!$E$13:$E$181</c:f>
              <c:numCache>
                <c:formatCode>0.00</c:formatCode>
                <c:ptCount val="169"/>
                <c:pt idx="0">
                  <c:v>23.41463414634147</c:v>
                </c:pt>
                <c:pt idx="1">
                  <c:v>24.79476502082095</c:v>
                </c:pt>
                <c:pt idx="2">
                  <c:v>26.14123416665458</c:v>
                </c:pt>
                <c:pt idx="3">
                  <c:v>27.45486260161423</c:v>
                </c:pt>
                <c:pt idx="4">
                  <c:v>28.73645131864803</c:v>
                </c:pt>
                <c:pt idx="5">
                  <c:v>29.98678177429077</c:v>
                </c:pt>
                <c:pt idx="6">
                  <c:v>31.20661636516173</c:v>
                </c:pt>
                <c:pt idx="7">
                  <c:v>32.39669889284071</c:v>
                </c:pt>
                <c:pt idx="8">
                  <c:v>33.55775501740558</c:v>
                </c:pt>
                <c:pt idx="9">
                  <c:v>34.69049269990788</c:v>
                </c:pt>
                <c:pt idx="10">
                  <c:v>35.79560263405647</c:v>
                </c:pt>
                <c:pt idx="11">
                  <c:v>36.87375866737218</c:v>
                </c:pt>
                <c:pt idx="12">
                  <c:v>37.92561821207042</c:v>
                </c:pt>
                <c:pt idx="13">
                  <c:v>38.95182264592237</c:v>
                </c:pt>
                <c:pt idx="14">
                  <c:v>39.9529977033389</c:v>
                </c:pt>
                <c:pt idx="15">
                  <c:v>40.92975385691601</c:v>
                </c:pt>
                <c:pt idx="16">
                  <c:v>41.88268668967416</c:v>
                </c:pt>
                <c:pt idx="17">
                  <c:v>42.8123772582187</c:v>
                </c:pt>
                <c:pt idx="18">
                  <c:v>43.71939244704264</c:v>
                </c:pt>
                <c:pt idx="19">
                  <c:v>44.60428531418794</c:v>
                </c:pt>
                <c:pt idx="20">
                  <c:v>45.46759542847604</c:v>
                </c:pt>
                <c:pt idx="21">
                  <c:v>46.30984919851322</c:v>
                </c:pt>
                <c:pt idx="22">
                  <c:v>47.13156019367144</c:v>
                </c:pt>
                <c:pt idx="23">
                  <c:v>47.93322945724044</c:v>
                </c:pt>
                <c:pt idx="24">
                  <c:v>48.7153458119419</c:v>
                </c:pt>
                <c:pt idx="25">
                  <c:v>49.4783861579921</c:v>
                </c:pt>
                <c:pt idx="26">
                  <c:v>50.22281576389473</c:v>
                </c:pt>
                <c:pt idx="27">
                  <c:v>50.94908855014121</c:v>
                </c:pt>
                <c:pt idx="28">
                  <c:v>51.65764736599143</c:v>
                </c:pt>
                <c:pt idx="29">
                  <c:v>52.34892425950384</c:v>
                </c:pt>
                <c:pt idx="30">
                  <c:v>53.02334074097935</c:v>
                </c:pt>
                <c:pt idx="31">
                  <c:v>53.68130803997986</c:v>
                </c:pt>
                <c:pt idx="32">
                  <c:v>54.32322735607792</c:v>
                </c:pt>
                <c:pt idx="33">
                  <c:v>54.94949010349066</c:v>
                </c:pt>
                <c:pt idx="34">
                  <c:v>55.560478149747</c:v>
                </c:pt>
                <c:pt idx="35">
                  <c:v>56.15656404853365</c:v>
                </c:pt>
                <c:pt idx="36">
                  <c:v>56.7381112668621</c:v>
                </c:pt>
                <c:pt idx="37">
                  <c:v>57.30547440669474</c:v>
                </c:pt>
                <c:pt idx="38">
                  <c:v>57.85899942116561</c:v>
                </c:pt>
                <c:pt idx="39">
                  <c:v>58.39902382552743</c:v>
                </c:pt>
                <c:pt idx="40">
                  <c:v>58.9258769029536</c:v>
                </c:pt>
                <c:pt idx="41">
                  <c:v>59.43987990532059</c:v>
                </c:pt>
                <c:pt idx="42">
                  <c:v>59.94134624909326</c:v>
                </c:pt>
                <c:pt idx="43">
                  <c:v>60.43058170643246</c:v>
                </c:pt>
                <c:pt idx="44">
                  <c:v>60.90788459164143</c:v>
                </c:pt>
                <c:pt idx="45">
                  <c:v>61.37354594306481</c:v>
                </c:pt>
                <c:pt idx="46">
                  <c:v>61.82784970055104</c:v>
                </c:pt>
                <c:pt idx="47">
                  <c:v>62.27107287858639</c:v>
                </c:pt>
                <c:pt idx="48">
                  <c:v>62.70348573520623</c:v>
                </c:pt>
                <c:pt idx="49">
                  <c:v>63.12535193678657</c:v>
                </c:pt>
                <c:pt idx="50">
                  <c:v>63.53692871881617</c:v>
                </c:pt>
                <c:pt idx="51">
                  <c:v>63.93846704274749</c:v>
                </c:pt>
                <c:pt idx="52">
                  <c:v>64.33021174902194</c:v>
                </c:pt>
                <c:pt idx="53">
                  <c:v>64.71240170636288</c:v>
                </c:pt>
                <c:pt idx="54">
                  <c:v>65.08526995742721</c:v>
                </c:pt>
                <c:pt idx="55">
                  <c:v>65.4490438609046</c:v>
                </c:pt>
                <c:pt idx="56">
                  <c:v>65.80394523015084</c:v>
                </c:pt>
                <c:pt idx="57">
                  <c:v>66.15019046843986</c:v>
                </c:pt>
                <c:pt idx="58">
                  <c:v>66.48799070091693</c:v>
                </c:pt>
                <c:pt idx="59">
                  <c:v>66.8175519033336</c:v>
                </c:pt>
                <c:pt idx="60">
                  <c:v>67.13907502764255</c:v>
                </c:pt>
                <c:pt idx="61">
                  <c:v>67.45275612452932</c:v>
                </c:pt>
                <c:pt idx="62">
                  <c:v>67.75878646295544</c:v>
                </c:pt>
                <c:pt idx="63">
                  <c:v>68.0573526467858</c:v>
                </c:pt>
                <c:pt idx="64">
                  <c:v>68.34863672857152</c:v>
                </c:pt>
                <c:pt idx="65">
                  <c:v>68.63281632055758</c:v>
                </c:pt>
                <c:pt idx="66">
                  <c:v>68.910064702983</c:v>
                </c:pt>
                <c:pt idx="67">
                  <c:v>69.18055092973952</c:v>
                </c:pt>
                <c:pt idx="68">
                  <c:v>69.4444399314532</c:v>
                </c:pt>
                <c:pt idx="69">
                  <c:v>69.70189261605191</c:v>
                </c:pt>
                <c:pt idx="70">
                  <c:v>69.95306596687991</c:v>
                </c:pt>
                <c:pt idx="71">
                  <c:v>70.19811313841944</c:v>
                </c:pt>
                <c:pt idx="72">
                  <c:v>70.4371835496775</c:v>
                </c:pt>
                <c:pt idx="73">
                  <c:v>70.67042297529514</c:v>
                </c:pt>
                <c:pt idx="74">
                  <c:v>70.89797363443429</c:v>
                </c:pt>
                <c:pt idx="75">
                  <c:v>71.11997427749688</c:v>
                </c:pt>
                <c:pt idx="76">
                  <c:v>71.33656027072867</c:v>
                </c:pt>
                <c:pt idx="77">
                  <c:v>71.54786367875968</c:v>
                </c:pt>
                <c:pt idx="78">
                  <c:v>71.7540133451314</c:v>
                </c:pt>
                <c:pt idx="79">
                  <c:v>71.9551349708599</c:v>
                </c:pt>
                <c:pt idx="80">
                  <c:v>72.15135119108284</c:v>
                </c:pt>
                <c:pt idx="81">
                  <c:v>72.34278164983692</c:v>
                </c:pt>
                <c:pt idx="82">
                  <c:v>72.52954307301164</c:v>
                </c:pt>
                <c:pt idx="83">
                  <c:v>72.71174933952355</c:v>
                </c:pt>
                <c:pt idx="84">
                  <c:v>72.88951155075469</c:v>
                </c:pt>
                <c:pt idx="85">
                  <c:v>73.06293809829727</c:v>
                </c:pt>
                <c:pt idx="86">
                  <c:v>73.23213473004613</c:v>
                </c:pt>
                <c:pt idx="87">
                  <c:v>73.39720461467915</c:v>
                </c:pt>
                <c:pt idx="88">
                  <c:v>73.55824840456503</c:v>
                </c:pt>
                <c:pt idx="89">
                  <c:v>73.71536429713663</c:v>
                </c:pt>
                <c:pt idx="90">
                  <c:v>73.86864809476745</c:v>
                </c:pt>
                <c:pt idx="91">
                  <c:v>74.01819326318776</c:v>
                </c:pt>
                <c:pt idx="92">
                  <c:v>74.16409098847587</c:v>
                </c:pt>
                <c:pt idx="93">
                  <c:v>74.30643023265939</c:v>
                </c:pt>
                <c:pt idx="94">
                  <c:v>74.44529778796038</c:v>
                </c:pt>
                <c:pt idx="95">
                  <c:v>74.58077832971746</c:v>
                </c:pt>
                <c:pt idx="96">
                  <c:v>74.71295446801704</c:v>
                </c:pt>
                <c:pt idx="97">
                  <c:v>74.84190679806542</c:v>
                </c:pt>
                <c:pt idx="98">
                  <c:v>74.9677139493321</c:v>
                </c:pt>
                <c:pt idx="99">
                  <c:v>75.09045263349476</c:v>
                </c:pt>
                <c:pt idx="100">
                  <c:v>75.2101976912144</c:v>
                </c:pt>
                <c:pt idx="101">
                  <c:v>75.32101645025558</c:v>
                </c:pt>
                <c:pt idx="102">
                  <c:v>75.41126313014943</c:v>
                </c:pt>
                <c:pt idx="103">
                  <c:v>75.47001599243281</c:v>
                </c:pt>
                <c:pt idx="104">
                  <c:v>75.48734096548321</c:v>
                </c:pt>
                <c:pt idx="105">
                  <c:v>75.45453107909903</c:v>
                </c:pt>
                <c:pt idx="106">
                  <c:v>75.36431580999537</c:v>
                </c:pt>
                <c:pt idx="107">
                  <c:v>75.21103518035624</c:v>
                </c:pt>
                <c:pt idx="108">
                  <c:v>74.99077431955486</c:v>
                </c:pt>
                <c:pt idx="109">
                  <c:v>74.70145517275608</c:v>
                </c:pt>
                <c:pt idx="110">
                  <c:v>74.3428830953718</c:v>
                </c:pt>
                <c:pt idx="111">
                  <c:v>73.91674718326995</c:v>
                </c:pt>
                <c:pt idx="112">
                  <c:v>73.42657432788535</c:v>
                </c:pt>
                <c:pt idx="113">
                  <c:v>72.87763812489325</c:v>
                </c:pt>
                <c:pt idx="114">
                  <c:v>72.27682487682637</c:v>
                </c:pt>
                <c:pt idx="115">
                  <c:v>71.63245998656888</c:v>
                </c:pt>
                <c:pt idx="116">
                  <c:v>70.95409901403063</c:v>
                </c:pt>
                <c:pt idx="117">
                  <c:v>70.2522885384746</c:v>
                </c:pt>
                <c:pt idx="118">
                  <c:v>69.53830271251418</c:v>
                </c:pt>
                <c:pt idx="119">
                  <c:v>68.82386199240646</c:v>
                </c:pt>
                <c:pt idx="120">
                  <c:v>68.12084096820143</c:v>
                </c:pt>
                <c:pt idx="121">
                  <c:v>67.44097248575988</c:v>
                </c:pt>
                <c:pt idx="122">
                  <c:v>66.795555344012</c:v>
                </c:pt>
                <c:pt idx="123">
                  <c:v>66.19517276284668</c:v>
                </c:pt>
                <c:pt idx="124">
                  <c:v>65.64942855186264</c:v>
                </c:pt>
                <c:pt idx="125">
                  <c:v>65.16670747440914</c:v>
                </c:pt>
                <c:pt idx="126">
                  <c:v>64.75396570562234</c:v>
                </c:pt>
                <c:pt idx="127">
                  <c:v>64.41655654219763</c:v>
                </c:pt>
                <c:pt idx="128">
                  <c:v>64.15809565366845</c:v>
                </c:pt>
                <c:pt idx="129">
                  <c:v>63.98036919136424</c:v>
                </c:pt>
                <c:pt idx="130">
                  <c:v>63.88328701596512</c:v>
                </c:pt>
                <c:pt idx="131">
                  <c:v>63.86488219364414</c:v>
                </c:pt>
                <c:pt idx="132">
                  <c:v>63.92135677154305</c:v>
                </c:pt>
                <c:pt idx="133">
                  <c:v>64.0471727038174</c:v>
                </c:pt>
                <c:pt idx="134">
                  <c:v>64.2351856877694</c:v>
                </c:pt>
                <c:pt idx="135">
                  <c:v>64.47681861303677</c:v>
                </c:pt>
                <c:pt idx="136">
                  <c:v>64.7622703514383</c:v>
                </c:pt>
                <c:pt idx="137">
                  <c:v>65.08075474490974</c:v>
                </c:pt>
                <c:pt idx="138">
                  <c:v>65.42076390542178</c:v>
                </c:pt>
                <c:pt idx="139">
                  <c:v>65.77034934216522</c:v>
                </c:pt>
                <c:pt idx="140">
                  <c:v>66.11741399235631</c:v>
                </c:pt>
                <c:pt idx="141">
                  <c:v>66.45601365107934</c:v>
                </c:pt>
                <c:pt idx="142">
                  <c:v>66.78635478154083</c:v>
                </c:pt>
                <c:pt idx="143">
                  <c:v>67.10863881125935</c:v>
                </c:pt>
                <c:pt idx="144">
                  <c:v>67.42306225488718</c:v>
                </c:pt>
                <c:pt idx="145">
                  <c:v>67.72981683403628</c:v>
                </c:pt>
                <c:pt idx="146">
                  <c:v>68.02908959418174</c:v>
                </c:pt>
                <c:pt idx="147">
                  <c:v>68.3210630187139</c:v>
                </c:pt>
                <c:pt idx="148">
                  <c:v>68.60591514020869</c:v>
                </c:pt>
                <c:pt idx="149">
                  <c:v>68.8838196489841</c:v>
                </c:pt>
                <c:pt idx="150">
                  <c:v>69.15494599900888</c:v>
                </c:pt>
                <c:pt idx="151">
                  <c:v>69.41945951122818</c:v>
                </c:pt>
                <c:pt idx="152">
                  <c:v>69.67752147436895</c:v>
                </c:pt>
                <c:pt idx="153">
                  <c:v>69.92928924328678</c:v>
                </c:pt>
                <c:pt idx="154">
                  <c:v>70.17491633491395</c:v>
                </c:pt>
                <c:pt idx="155">
                  <c:v>70.41455252186726</c:v>
                </c:pt>
                <c:pt idx="156">
                  <c:v>70.64834392377294</c:v>
                </c:pt>
                <c:pt idx="157">
                  <c:v>70.87643309636385</c:v>
                </c:pt>
                <c:pt idx="158">
                  <c:v>71.09895911840377</c:v>
                </c:pt>
                <c:pt idx="159">
                  <c:v>71.31605767649148</c:v>
                </c:pt>
                <c:pt idx="160">
                  <c:v>71.52786114779657</c:v>
                </c:pt>
                <c:pt idx="161">
                  <c:v>71.73449868077715</c:v>
                </c:pt>
                <c:pt idx="162">
                  <c:v>71.93609627392894</c:v>
                </c:pt>
                <c:pt idx="163">
                  <c:v>72.1327768526136</c:v>
                </c:pt>
                <c:pt idx="164">
                  <c:v>72.32466034401328</c:v>
                </c:pt>
                <c:pt idx="165">
                  <c:v>72.51186375025686</c:v>
                </c:pt>
                <c:pt idx="166">
                  <c:v>72.6945012197628</c:v>
                </c:pt>
                <c:pt idx="167">
                  <c:v>72.87268411684177</c:v>
                </c:pt>
                <c:pt idx="168">
                  <c:v>73.04652108960172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'Aufgabe 6.7'!$M$11</c:f>
              <c:strCache>
                <c:ptCount val="1"/>
                <c:pt idx="0">
                  <c:v> d = d0 + Δd</c:v>
                </c:pt>
              </c:strCache>
            </c:strRef>
          </c:tx>
          <c:val>
            <c:numRef>
              <c:f>'Aufgabe 6.7'!$M$13:$M$181</c:f>
              <c:numCache>
                <c:formatCode>0.00</c:formatCode>
                <c:ptCount val="169"/>
                <c:pt idx="0">
                  <c:v>49.97658536585366</c:v>
                </c:pt>
                <c:pt idx="1">
                  <c:v>49.93158358120166</c:v>
                </c:pt>
                <c:pt idx="2">
                  <c:v>49.86667949681519</c:v>
                </c:pt>
                <c:pt idx="3">
                  <c:v>49.78342646291742</c:v>
                </c:pt>
                <c:pt idx="4">
                  <c:v>49.68325659264094</c:v>
                </c:pt>
                <c:pt idx="5">
                  <c:v>49.56749022443481</c:v>
                </c:pt>
                <c:pt idx="6">
                  <c:v>49.43734464594234</c:v>
                </c:pt>
                <c:pt idx="7">
                  <c:v>49.29394213699074</c:v>
                </c:pt>
                <c:pt idx="8">
                  <c:v>49.13831738483536</c:v>
                </c:pt>
                <c:pt idx="9">
                  <c:v>48.97142432065309</c:v>
                </c:pt>
                <c:pt idx="10">
                  <c:v>48.79414242245577</c:v>
                </c:pt>
                <c:pt idx="11">
                  <c:v>48.60728252606898</c:v>
                </c:pt>
                <c:pt idx="12">
                  <c:v>48.4115921825709</c:v>
                </c:pt>
                <c:pt idx="13">
                  <c:v>48.20776059758975</c:v>
                </c:pt>
                <c:pt idx="14">
                  <c:v>47.99642318509494</c:v>
                </c:pt>
                <c:pt idx="15">
                  <c:v>47.77816576577045</c:v>
                </c:pt>
                <c:pt idx="16">
                  <c:v>47.55352843771031</c:v>
                </c:pt>
                <c:pt idx="17">
                  <c:v>47.32300914501097</c:v>
                </c:pt>
                <c:pt idx="18">
                  <c:v>47.08706696783938</c:v>
                </c:pt>
                <c:pt idx="19">
                  <c:v>46.84612515571532</c:v>
                </c:pt>
                <c:pt idx="20">
                  <c:v>46.60057392404972</c:v>
                </c:pt>
                <c:pt idx="21">
                  <c:v>46.35077303241658</c:v>
                </c:pt>
                <c:pt idx="22">
                  <c:v>46.09705416159381</c:v>
                </c:pt>
                <c:pt idx="23">
                  <c:v>45.83972310507917</c:v>
                </c:pt>
                <c:pt idx="24">
                  <c:v>45.57906178956078</c:v>
                </c:pt>
                <c:pt idx="25">
                  <c:v>45.31533013769262</c:v>
                </c:pt>
                <c:pt idx="26">
                  <c:v>45.04876778548245</c:v>
                </c:pt>
                <c:pt idx="27">
                  <c:v>44.77959566563992</c:v>
                </c:pt>
                <c:pt idx="28">
                  <c:v>44.50801746734606</c:v>
                </c:pt>
                <c:pt idx="29">
                  <c:v>44.23422098208977</c:v>
                </c:pt>
                <c:pt idx="30">
                  <c:v>43.95837934446324</c:v>
                </c:pt>
                <c:pt idx="31">
                  <c:v>43.68262544768661</c:v>
                </c:pt>
                <c:pt idx="32">
                  <c:v>43.41104521067535</c:v>
                </c:pt>
                <c:pt idx="33">
                  <c:v>43.14768973435305</c:v>
                </c:pt>
                <c:pt idx="34">
                  <c:v>42.89656074572591</c:v>
                </c:pt>
                <c:pt idx="35">
                  <c:v>42.66159612505409</c:v>
                </c:pt>
                <c:pt idx="36">
                  <c:v>42.44665558196002</c:v>
                </c:pt>
                <c:pt idx="37">
                  <c:v>42.25550654504572</c:v>
                </c:pt>
                <c:pt idx="38">
                  <c:v>42.09181032812027</c:v>
                </c:pt>
                <c:pt idx="39">
                  <c:v>41.9591086344689</c:v>
                </c:pt>
                <c:pt idx="40">
                  <c:v>41.86081045872697</c:v>
                </c:pt>
                <c:pt idx="41">
                  <c:v>41.80017944386162</c:v>
                </c:pt>
                <c:pt idx="42">
                  <c:v>41.78032174851374</c:v>
                </c:pt>
                <c:pt idx="43">
                  <c:v>41.80417447752114</c:v>
                </c:pt>
                <c:pt idx="44">
                  <c:v>41.87449472583548</c:v>
                </c:pt>
                <c:pt idx="45">
                  <c:v>41.9938492832694</c:v>
                </c:pt>
                <c:pt idx="46">
                  <c:v>42.16460504457474</c:v>
                </c:pt>
                <c:pt idx="47">
                  <c:v>42.38892016626688</c:v>
                </c:pt>
                <c:pt idx="48">
                  <c:v>42.66873600838491</c:v>
                </c:pt>
                <c:pt idx="49">
                  <c:v>43.00576989602272</c:v>
                </c:pt>
                <c:pt idx="50">
                  <c:v>43.40150873199386</c:v>
                </c:pt>
                <c:pt idx="51">
                  <c:v>43.85720348841638</c:v>
                </c:pt>
                <c:pt idx="52">
                  <c:v>44.37386460133316</c:v>
                </c:pt>
                <c:pt idx="53">
                  <c:v>44.95225828873458</c:v>
                </c:pt>
                <c:pt idx="54">
                  <c:v>45.59290380853463</c:v>
                </c:pt>
                <c:pt idx="55">
                  <c:v>46.29607166918464</c:v>
                </c:pt>
                <c:pt idx="56">
                  <c:v>47.06178280170347</c:v>
                </c:pt>
                <c:pt idx="57">
                  <c:v>47.88980869797518</c:v>
                </c:pt>
                <c:pt idx="58">
                  <c:v>48.77967251622774</c:v>
                </c:pt>
                <c:pt idx="59">
                  <c:v>49.73065115067568</c:v>
                </c:pt>
                <c:pt idx="60">
                  <c:v>50.74177825839941</c:v>
                </c:pt>
                <c:pt idx="61">
                  <c:v>51.81184823265932</c:v>
                </c:pt>
                <c:pt idx="62">
                  <c:v>52.93942110801813</c:v>
                </c:pt>
                <c:pt idx="63">
                  <c:v>54.12282837888578</c:v>
                </c:pt>
                <c:pt idx="64">
                  <c:v>55.36017970941972</c:v>
                </c:pt>
                <c:pt idx="65">
                  <c:v>56.64937050912626</c:v>
                </c:pt>
                <c:pt idx="66">
                  <c:v>57.98809034502742</c:v>
                </c:pt>
                <c:pt idx="67">
                  <c:v>59.37383215789669</c:v>
                </c:pt>
                <c:pt idx="68">
                  <c:v>60.80390224683893</c:v>
                </c:pt>
                <c:pt idx="69">
                  <c:v>62.2754309834071</c:v>
                </c:pt>
                <c:pt idx="70">
                  <c:v>63.78538421352232</c:v>
                </c:pt>
                <c:pt idx="71">
                  <c:v>63.48624737720482</c:v>
                </c:pt>
                <c:pt idx="72">
                  <c:v>63.18704317201454</c:v>
                </c:pt>
                <c:pt idx="73">
                  <c:v>62.88777685600985</c:v>
                </c:pt>
                <c:pt idx="74">
                  <c:v>62.58845327686406</c:v>
                </c:pt>
                <c:pt idx="75">
                  <c:v>62.2890769038955</c:v>
                </c:pt>
                <c:pt idx="76">
                  <c:v>61.98965185759766</c:v>
                </c:pt>
                <c:pt idx="77">
                  <c:v>61.69018193686452</c:v>
                </c:pt>
                <c:pt idx="78">
                  <c:v>61.39067064409104</c:v>
                </c:pt>
                <c:pt idx="79">
                  <c:v>61.09112120831453</c:v>
                </c:pt>
                <c:pt idx="80">
                  <c:v>60.79153660654983</c:v>
                </c:pt>
                <c:pt idx="81">
                  <c:v>60.49191958345946</c:v>
                </c:pt>
                <c:pt idx="82">
                  <c:v>60.19227266948832</c:v>
                </c:pt>
                <c:pt idx="83">
                  <c:v>59.89259819758324</c:v>
                </c:pt>
                <c:pt idx="84">
                  <c:v>59.59289831860732</c:v>
                </c:pt>
                <c:pt idx="85">
                  <c:v>59.29317501555148</c:v>
                </c:pt>
                <c:pt idx="86">
                  <c:v>58.99343011663659</c:v>
                </c:pt>
                <c:pt idx="87">
                  <c:v>58.6936653073931</c:v>
                </c:pt>
                <c:pt idx="88">
                  <c:v>58.39388214179788</c:v>
                </c:pt>
                <c:pt idx="89">
                  <c:v>58.0940820525418</c:v>
                </c:pt>
                <c:pt idx="90">
                  <c:v>57.79426636049595</c:v>
                </c:pt>
                <c:pt idx="91">
                  <c:v>57.49443628343904</c:v>
                </c:pt>
                <c:pt idx="92">
                  <c:v>57.19459294410365</c:v>
                </c:pt>
                <c:pt idx="93">
                  <c:v>56.89473737759444</c:v>
                </c:pt>
                <c:pt idx="94">
                  <c:v>56.59487053822741</c:v>
                </c:pt>
                <c:pt idx="95">
                  <c:v>56.29499330583536</c:v>
                </c:pt>
                <c:pt idx="96">
                  <c:v>55.99510649158124</c:v>
                </c:pt>
                <c:pt idx="97">
                  <c:v>55.69521084331767</c:v>
                </c:pt>
                <c:pt idx="98">
                  <c:v>55.39530705052834</c:v>
                </c:pt>
                <c:pt idx="99">
                  <c:v>55.09539574888353</c:v>
                </c:pt>
                <c:pt idx="100">
                  <c:v>54.79547752444029</c:v>
                </c:pt>
                <c:pt idx="101">
                  <c:v>54.49615348626601</c:v>
                </c:pt>
                <c:pt idx="102">
                  <c:v>54.19916417710557</c:v>
                </c:pt>
                <c:pt idx="103">
                  <c:v>53.90725664211432</c:v>
                </c:pt>
                <c:pt idx="104">
                  <c:v>53.62403374427482</c:v>
                </c:pt>
                <c:pt idx="105">
                  <c:v>53.35378888816005</c:v>
                </c:pt>
                <c:pt idx="106">
                  <c:v>53.10132971582532</c:v>
                </c:pt>
                <c:pt idx="107">
                  <c:v>52.87179464963675</c:v>
                </c:pt>
                <c:pt idx="108">
                  <c:v>52.67046636937631</c:v>
                </c:pt>
                <c:pt idx="109">
                  <c:v>52.50258642001228</c:v>
                </c:pt>
                <c:pt idx="110">
                  <c:v>52.37317514962301</c:v>
                </c:pt>
                <c:pt idx="111">
                  <c:v>52.28686107424168</c:v>
                </c:pt>
                <c:pt idx="112">
                  <c:v>52.24772356056695</c:v>
                </c:pt>
                <c:pt idx="113">
                  <c:v>52.25915241380047</c:v>
                </c:pt>
                <c:pt idx="114">
                  <c:v>52.32372756396662</c:v>
                </c:pt>
                <c:pt idx="115">
                  <c:v>52.44312156978743</c:v>
                </c:pt>
                <c:pt idx="116">
                  <c:v>52.61802711634296</c:v>
                </c:pt>
                <c:pt idx="117">
                  <c:v>52.84811108483504</c:v>
                </c:pt>
                <c:pt idx="118">
                  <c:v>53.13199613462995</c:v>
                </c:pt>
                <c:pt idx="119">
                  <c:v>53.46727007520161</c:v>
                </c:pt>
                <c:pt idx="120">
                  <c:v>53.85052263504573</c:v>
                </c:pt>
                <c:pt idx="121">
                  <c:v>54.27740857268713</c:v>
                </c:pt>
                <c:pt idx="122">
                  <c:v>54.74273543794165</c:v>
                </c:pt>
                <c:pt idx="123">
                  <c:v>55.24057369538063</c:v>
                </c:pt>
                <c:pt idx="124">
                  <c:v>55.76438638123289</c:v>
                </c:pt>
                <c:pt idx="125">
                  <c:v>56.3071749931253</c:v>
                </c:pt>
                <c:pt idx="126">
                  <c:v>56.86163792078671</c:v>
                </c:pt>
                <c:pt idx="127">
                  <c:v>57.42033742481307</c:v>
                </c:pt>
                <c:pt idx="128">
                  <c:v>57.97587096727516</c:v>
                </c:pt>
                <c:pt idx="129">
                  <c:v>58.52104259740072</c:v>
                </c:pt>
                <c:pt idx="130">
                  <c:v>59.04903010029697</c:v>
                </c:pt>
                <c:pt idx="131">
                  <c:v>59.55354372662374</c:v>
                </c:pt>
                <c:pt idx="132">
                  <c:v>60.02897253360914</c:v>
                </c:pt>
                <c:pt idx="133">
                  <c:v>60.47051467762304</c:v>
                </c:pt>
                <c:pt idx="134">
                  <c:v>60.87428839808987</c:v>
                </c:pt>
                <c:pt idx="135">
                  <c:v>61.23742091202337</c:v>
                </c:pt>
                <c:pt idx="136">
                  <c:v>61.55811298611936</c:v>
                </c:pt>
                <c:pt idx="137">
                  <c:v>61.83567755569138</c:v>
                </c:pt>
                <c:pt idx="138">
                  <c:v>62.07055140196532</c:v>
                </c:pt>
                <c:pt idx="139">
                  <c:v>62.26427956557421</c:v>
                </c:pt>
                <c:pt idx="140">
                  <c:v>62.41947284812093</c:v>
                </c:pt>
                <c:pt idx="141">
                  <c:v>62.53913885007866</c:v>
                </c:pt>
                <c:pt idx="142">
                  <c:v>62.6260504323714</c:v>
                </c:pt>
                <c:pt idx="143">
                  <c:v>62.68276403750956</c:v>
                </c:pt>
                <c:pt idx="144">
                  <c:v>62.71163658078329</c:v>
                </c:pt>
                <c:pt idx="145">
                  <c:v>62.71484102311859</c:v>
                </c:pt>
                <c:pt idx="146">
                  <c:v>62.69438072849112</c:v>
                </c:pt>
                <c:pt idx="147">
                  <c:v>62.65210270076142</c:v>
                </c:pt>
                <c:pt idx="148">
                  <c:v>62.5897097873911</c:v>
                </c:pt>
                <c:pt idx="149">
                  <c:v>62.50877193067407</c:v>
                </c:pt>
                <c:pt idx="150">
                  <c:v>62.41073654082277</c:v>
                </c:pt>
                <c:pt idx="151">
                  <c:v>62.29693805944766</c:v>
                </c:pt>
                <c:pt idx="152">
                  <c:v>62.1686067766189</c:v>
                </c:pt>
                <c:pt idx="153">
                  <c:v>62.02687695976702</c:v>
                </c:pt>
                <c:pt idx="154">
                  <c:v>61.87279434813285</c:v>
                </c:pt>
                <c:pt idx="155">
                  <c:v>61.70732306228476</c:v>
                </c:pt>
                <c:pt idx="156">
                  <c:v>61.53135197435653</c:v>
                </c:pt>
                <c:pt idx="157">
                  <c:v>61.34570058109585</c:v>
                </c:pt>
                <c:pt idx="158">
                  <c:v>61.1511244185287</c:v>
                </c:pt>
                <c:pt idx="159">
                  <c:v>60.94832005401557</c:v>
                </c:pt>
                <c:pt idx="160">
                  <c:v>60.73792968868395</c:v>
                </c:pt>
                <c:pt idx="161">
                  <c:v>60.5205454006465</c:v>
                </c:pt>
                <c:pt idx="162">
                  <c:v>60.29671305704124</c:v>
                </c:pt>
                <c:pt idx="163">
                  <c:v>60.06693592074176</c:v>
                </c:pt>
                <c:pt idx="164">
                  <c:v>59.83167797556811</c:v>
                </c:pt>
                <c:pt idx="165">
                  <c:v>59.59136699196897</c:v>
                </c:pt>
                <c:pt idx="166">
                  <c:v>59.34639735343123</c:v>
                </c:pt>
                <c:pt idx="167">
                  <c:v>59.09713266229156</c:v>
                </c:pt>
                <c:pt idx="168">
                  <c:v>58.84390814216766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826536"/>
        <c:axId val="2082829512"/>
      </c:lineChart>
      <c:catAx>
        <c:axId val="20828265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829512"/>
        <c:crosses val="autoZero"/>
        <c:auto val="1"/>
        <c:lblAlgn val="ctr"/>
        <c:lblOffset val="100"/>
        <c:noMultiLvlLbl val="0"/>
      </c:catAx>
      <c:valAx>
        <c:axId val="20828295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2826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519306445918"/>
          <c:y val="0.33652225981258"/>
          <c:w val="0.10021521581647"/>
          <c:h val="0.311746354899554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9151833538102"/>
          <c:y val="0.0601851851851852"/>
          <c:w val="0.786135195821506"/>
          <c:h val="0.822469378827647"/>
        </c:manualLayout>
      </c:layout>
      <c:lineChart>
        <c:grouping val="standard"/>
        <c:varyColors val="0"/>
        <c:ser>
          <c:idx val="2"/>
          <c:order val="0"/>
          <c:tx>
            <c:strRef>
              <c:f>'Aufgabe 6.7'!$C$11</c:f>
              <c:strCache>
                <c:ptCount val="1"/>
                <c:pt idx="0">
                  <c:v> u(k)=F(k)</c:v>
                </c:pt>
              </c:strCache>
            </c:strRef>
          </c:tx>
          <c:val>
            <c:numRef>
              <c:f>'Aufgabe 6.7'!$C$13:$C$181</c:f>
              <c:numCache>
                <c:formatCode>0.00</c:formatCode>
                <c:ptCount val="169"/>
                <c:pt idx="0">
                  <c:v>7900.0</c:v>
                </c:pt>
                <c:pt idx="1">
                  <c:v>7771.219512195123</c:v>
                </c:pt>
                <c:pt idx="2">
                  <c:v>7652.490184414038</c:v>
                </c:pt>
                <c:pt idx="3">
                  <c:v>7543.027535874404</c:v>
                </c:pt>
                <c:pt idx="4">
                  <c:v>7442.108313562254</c:v>
                </c:pt>
                <c:pt idx="5">
                  <c:v>7349.065713479345</c:v>
                </c:pt>
                <c:pt idx="6">
                  <c:v>7263.284974866321</c:v>
                </c:pt>
                <c:pt idx="7">
                  <c:v>7184.199318291386</c:v>
                </c:pt>
                <c:pt idx="8">
                  <c:v>7111.286200766202</c:v>
                </c:pt>
                <c:pt idx="9">
                  <c:v>7044.063863145424</c:v>
                </c:pt>
                <c:pt idx="10">
                  <c:v>6982.088146997486</c:v>
                </c:pt>
                <c:pt idx="11">
                  <c:v>6924.949559914754</c:v>
                </c:pt>
                <c:pt idx="12">
                  <c:v>6872.270569872626</c:v>
                </c:pt>
                <c:pt idx="13">
                  <c:v>6823.703110760616</c:v>
                </c:pt>
                <c:pt idx="14">
                  <c:v>6778.926282603686</c:v>
                </c:pt>
                <c:pt idx="15">
                  <c:v>6737.644231278518</c:v>
                </c:pt>
                <c:pt idx="16">
                  <c:v>6699.584193715315</c:v>
                </c:pt>
                <c:pt idx="17">
                  <c:v>6664.49469566924</c:v>
                </c:pt>
                <c:pt idx="18">
                  <c:v>6632.143890153591</c:v>
                </c:pt>
                <c:pt idx="19">
                  <c:v>6602.318025556236</c:v>
                </c:pt>
                <c:pt idx="20">
                  <c:v>6574.8200333177</c:v>
                </c:pt>
                <c:pt idx="21">
                  <c:v>6549.468225839244</c:v>
                </c:pt>
                <c:pt idx="22">
                  <c:v>6526.095096017643</c:v>
                </c:pt>
                <c:pt idx="23">
                  <c:v>6504.546210474802</c:v>
                </c:pt>
                <c:pt idx="24">
                  <c:v>6484.67918916945</c:v>
                </c:pt>
                <c:pt idx="25">
                  <c:v>6466.362764648905</c:v>
                </c:pt>
                <c:pt idx="26">
                  <c:v>6449.475914725088</c:v>
                </c:pt>
                <c:pt idx="27">
                  <c:v>6433.907062844104</c:v>
                </c:pt>
                <c:pt idx="28">
                  <c:v>6419.553340866025</c:v>
                </c:pt>
                <c:pt idx="29">
                  <c:v>6406.319909383797</c:v>
                </c:pt>
                <c:pt idx="30">
                  <c:v>6394.119331090423</c:v>
                </c:pt>
                <c:pt idx="31">
                  <c:v>6382.870993054097</c:v>
                </c:pt>
                <c:pt idx="32">
                  <c:v>6372.50057408402</c:v>
                </c:pt>
                <c:pt idx="33">
                  <c:v>6362.939553667707</c:v>
                </c:pt>
                <c:pt idx="34">
                  <c:v>6354.124759235103</c:v>
                </c:pt>
                <c:pt idx="35">
                  <c:v>6345.997948758217</c:v>
                </c:pt>
                <c:pt idx="36">
                  <c:v>6338.505425928306</c:v>
                </c:pt>
                <c:pt idx="37">
                  <c:v>6331.597685368048</c:v>
                </c:pt>
                <c:pt idx="38">
                  <c:v>6325.229085534444</c:v>
                </c:pt>
                <c:pt idx="39">
                  <c:v>6319.357547151266</c:v>
                </c:pt>
                <c:pt idx="40">
                  <c:v>6313.944275178483</c:v>
                </c:pt>
                <c:pt idx="41">
                  <c:v>6308.953502481625</c:v>
                </c:pt>
                <c:pt idx="42">
                  <c:v>6304.352253507448</c:v>
                </c:pt>
                <c:pt idx="43">
                  <c:v>6300.110126404426</c:v>
                </c:pt>
                <c:pt idx="44">
                  <c:v>6296.19909214847</c:v>
                </c:pt>
                <c:pt idx="45">
                  <c:v>6292.593309346637</c:v>
                </c:pt>
                <c:pt idx="46">
                  <c:v>6289.268953495191</c:v>
                </c:pt>
                <c:pt idx="47">
                  <c:v>6286.20405956386</c:v>
                </c:pt>
                <c:pt idx="48">
                  <c:v>6283.378376866189</c:v>
                </c:pt>
                <c:pt idx="49">
                  <c:v>6280.77323525712</c:v>
                </c:pt>
                <c:pt idx="50">
                  <c:v>6278.371421773636</c:v>
                </c:pt>
                <c:pt idx="51">
                  <c:v>6276.1570669035</c:v>
                </c:pt>
                <c:pt idx="52">
                  <c:v>6274.11553973054</c:v>
                </c:pt>
                <c:pt idx="53">
                  <c:v>6272.233351263765</c:v>
                </c:pt>
                <c:pt idx="54">
                  <c:v>6270.498065311471</c:v>
                </c:pt>
                <c:pt idx="55">
                  <c:v>6268.898216311548</c:v>
                </c:pt>
                <c:pt idx="56">
                  <c:v>6267.423233575036</c:v>
                </c:pt>
                <c:pt idx="57">
                  <c:v>6266.06337144235</c:v>
                </c:pt>
                <c:pt idx="58">
                  <c:v>6264.80964489075</c:v>
                </c:pt>
                <c:pt idx="59">
                  <c:v>6263.653770167567</c:v>
                </c:pt>
                <c:pt idx="60">
                  <c:v>6262.588110056926</c:v>
                </c:pt>
                <c:pt idx="61">
                  <c:v>6261.605623418336</c:v>
                </c:pt>
                <c:pt idx="62">
                  <c:v>6260.699818663733</c:v>
                </c:pt>
                <c:pt idx="63">
                  <c:v>6259.864710865587</c:v>
                </c:pt>
                <c:pt idx="64">
                  <c:v>6259.094782212662</c:v>
                </c:pt>
                <c:pt idx="65">
                  <c:v>6258.38494555216</c:v>
                </c:pt>
                <c:pt idx="66">
                  <c:v>6257.730510777355</c:v>
                </c:pt>
                <c:pt idx="67">
                  <c:v>6257.127153838634</c:v>
                </c:pt>
                <c:pt idx="68">
                  <c:v>6256.570888173181</c:v>
                </c:pt>
                <c:pt idx="69">
                  <c:v>6256.058038364541</c:v>
                </c:pt>
                <c:pt idx="70">
                  <c:v>6255.58521585804</c:v>
                </c:pt>
                <c:pt idx="71">
                  <c:v>6255.149296571555</c:v>
                </c:pt>
                <c:pt idx="72">
                  <c:v>6254.747400253775</c:v>
                </c:pt>
                <c:pt idx="73">
                  <c:v>6254.376871453478</c:v>
                </c:pt>
                <c:pt idx="74">
                  <c:v>6254.03526197418</c:v>
                </c:pt>
                <c:pt idx="75">
                  <c:v>6253.720314698146</c:v>
                </c:pt>
                <c:pt idx="76">
                  <c:v>6253.429948672923</c:v>
                </c:pt>
                <c:pt idx="77">
                  <c:v>6253.162245361863</c:v>
                </c:pt>
                <c:pt idx="78">
                  <c:v>6252.915435967766</c:v>
                </c:pt>
                <c:pt idx="79">
                  <c:v>6252.68788974589</c:v>
                </c:pt>
                <c:pt idx="80">
                  <c:v>6252.478103229136</c:v>
                </c:pt>
                <c:pt idx="81">
                  <c:v>6252.284690294176</c:v>
                </c:pt>
                <c:pt idx="82">
                  <c:v>6252.106373002923</c:v>
                </c:pt>
                <c:pt idx="83">
                  <c:v>6251.941973158791</c:v>
                </c:pt>
                <c:pt idx="84">
                  <c:v>6251.790404522007</c:v>
                </c:pt>
                <c:pt idx="85">
                  <c:v>6251.650665632485</c:v>
                </c:pt>
                <c:pt idx="86">
                  <c:v>6251.521833192875</c:v>
                </c:pt>
                <c:pt idx="87">
                  <c:v>6251.403055968063</c:v>
                </c:pt>
                <c:pt idx="88">
                  <c:v>6251.2935491608</c:v>
                </c:pt>
                <c:pt idx="89">
                  <c:v>6251.192589226297</c:v>
                </c:pt>
                <c:pt idx="90">
                  <c:v>6251.09950909156</c:v>
                </c:pt>
                <c:pt idx="91">
                  <c:v>6251.013693747827</c:v>
                </c:pt>
                <c:pt idx="92">
                  <c:v>6250.934576187021</c:v>
                </c:pt>
                <c:pt idx="93">
                  <c:v>6250.86163365535</c:v>
                </c:pt>
                <c:pt idx="94">
                  <c:v>6250.794384199322</c:v>
                </c:pt>
                <c:pt idx="95">
                  <c:v>6250.732383481325</c:v>
                </c:pt>
                <c:pt idx="96">
                  <c:v>6250.675221843757</c:v>
                </c:pt>
                <c:pt idx="97">
                  <c:v>6250.62252160229</c:v>
                </c:pt>
                <c:pt idx="98">
                  <c:v>6250.573934550404</c:v>
                </c:pt>
                <c:pt idx="99">
                  <c:v>6250.529139658665</c:v>
                </c:pt>
                <c:pt idx="100">
                  <c:v>6250.487840953596</c:v>
                </c:pt>
                <c:pt idx="101">
                  <c:v>6250.449765562096</c:v>
                </c:pt>
                <c:pt idx="102">
                  <c:v>6253.717790041479</c:v>
                </c:pt>
                <c:pt idx="103">
                  <c:v>6266.55879961759</c:v>
                </c:pt>
                <c:pt idx="104">
                  <c:v>6294.508557548117</c:v>
                </c:pt>
                <c:pt idx="105">
                  <c:v>6342.274061882788</c:v>
                </c:pt>
                <c:pt idx="106">
                  <c:v>6413.653291368715</c:v>
                </c:pt>
                <c:pt idx="107">
                  <c:v>6511.474552159028</c:v>
                </c:pt>
                <c:pt idx="108">
                  <c:v>6637.557135962834</c:v>
                </c:pt>
                <c:pt idx="109">
                  <c:v>6792.694458567577</c:v>
                </c:pt>
                <c:pt idx="110">
                  <c:v>6976.66027849785</c:v>
                </c:pt>
                <c:pt idx="111">
                  <c:v>7188.238012858994</c:v>
                </c:pt>
                <c:pt idx="112">
                  <c:v>7425.272585402743</c:v>
                </c:pt>
                <c:pt idx="113">
                  <c:v>7684.743674788976</c:v>
                </c:pt>
                <c:pt idx="114">
                  <c:v>7962.85869278435</c:v>
                </c:pt>
                <c:pt idx="115">
                  <c:v>8255.163325913796</c:v>
                </c:pt>
                <c:pt idx="116">
                  <c:v>8556.667032014475</c:v>
                </c:pt>
                <c:pt idx="117">
                  <c:v>8861.980506055402</c:v>
                </c:pt>
                <c:pt idx="118">
                  <c:v>9165.461826706494</c:v>
                </c:pt>
                <c:pt idx="119">
                  <c:v>9461.367773872003</c:v>
                </c:pt>
                <c:pt idx="120">
                  <c:v>9744.006673144102</c:v>
                </c:pt>
                <c:pt idx="121">
                  <c:v>10007.88907914261</c:v>
                </c:pt>
                <c:pt idx="122">
                  <c:v>10247.87265702773</c:v>
                </c:pt>
                <c:pt idx="123">
                  <c:v>10459.29775889988</c:v>
                </c:pt>
                <c:pt idx="124">
                  <c:v>10638.11041591433</c:v>
                </c:pt>
                <c:pt idx="125">
                  <c:v>10780.96977218746</c:v>
                </c:pt>
                <c:pt idx="126">
                  <c:v>10885.33736540824</c:v>
                </c:pt>
                <c:pt idx="127">
                  <c:v>10949.54610213778</c:v>
                </c:pt>
                <c:pt idx="128">
                  <c:v>10972.84727214495</c:v>
                </c:pt>
                <c:pt idx="129">
                  <c:v>10955.43448354155</c:v>
                </c:pt>
                <c:pt idx="130">
                  <c:v>10898.44396569056</c:v>
                </c:pt>
                <c:pt idx="131">
                  <c:v>10803.93126592935</c:v>
                </c:pt>
                <c:pt idx="132">
                  <c:v>10674.82494479724</c:v>
                </c:pt>
                <c:pt idx="133">
                  <c:v>10514.85843841978</c:v>
                </c:pt>
                <c:pt idx="134">
                  <c:v>10328.48179207641</c:v>
                </c:pt>
                <c:pt idx="135">
                  <c:v>10120.75546256758</c:v>
                </c:pt>
                <c:pt idx="136">
                  <c:v>9897.228826634207</c:v>
                </c:pt>
                <c:pt idx="137">
                  <c:v>9663.806407528014</c:v>
                </c:pt>
                <c:pt idx="138">
                  <c:v>9426.605132646022</c:v>
                </c:pt>
                <c:pt idx="139">
                  <c:v>9191.806154506658</c:v>
                </c:pt>
                <c:pt idx="140">
                  <c:v>8965.504899848905</c:v>
                </c:pt>
                <c:pt idx="141">
                  <c:v>8753.56305400704</c:v>
                </c:pt>
                <c:pt idx="142">
                  <c:v>8558.163010767465</c:v>
                </c:pt>
                <c:pt idx="143">
                  <c:v>8378.01370261</c:v>
                </c:pt>
                <c:pt idx="144">
                  <c:v>8211.92482825995</c:v>
                </c:pt>
                <c:pt idx="145">
                  <c:v>8058.798988005516</c:v>
                </c:pt>
                <c:pt idx="146">
                  <c:v>7917.624432844108</c:v>
                </c:pt>
                <c:pt idx="147">
                  <c:v>7787.468379548958</c:v>
                </c:pt>
                <c:pt idx="148">
                  <c:v>7667.470847486598</c:v>
                </c:pt>
                <c:pt idx="149">
                  <c:v>7556.838976463253</c:v>
                </c:pt>
                <c:pt idx="150">
                  <c:v>7454.841788056365</c:v>
                </c:pt>
                <c:pt idx="151">
                  <c:v>7360.805355817818</c:v>
                </c:pt>
                <c:pt idx="152">
                  <c:v>7274.108352436915</c:v>
                </c:pt>
                <c:pt idx="153">
                  <c:v>7194.177944441837</c:v>
                </c:pt>
                <c:pt idx="154">
                  <c:v>7120.486007314666</c:v>
                </c:pt>
                <c:pt idx="155">
                  <c:v>7052.545636012058</c:v>
                </c:pt>
                <c:pt idx="156">
                  <c:v>6989.907927835508</c:v>
                </c:pt>
                <c:pt idx="157">
                  <c:v>6932.159016394687</c:v>
                </c:pt>
                <c:pt idx="158">
                  <c:v>6878.917337066319</c:v>
                </c:pt>
                <c:pt idx="159">
                  <c:v>6829.831105880654</c:v>
                </c:pt>
                <c:pt idx="160">
                  <c:v>6784.575995177773</c:v>
                </c:pt>
                <c:pt idx="161">
                  <c:v>6742.85299067609</c:v>
                </c:pt>
                <c:pt idx="162">
                  <c:v>6704.386415794053</c:v>
                </c:pt>
                <c:pt idx="163">
                  <c:v>6668.9221101711</c:v>
                </c:pt>
                <c:pt idx="164">
                  <c:v>6636.225750352867</c:v>
                </c:pt>
                <c:pt idx="165">
                  <c:v>6606.081301544836</c:v>
                </c:pt>
                <c:pt idx="166">
                  <c:v>6578.289590204753</c:v>
                </c:pt>
                <c:pt idx="167">
                  <c:v>6552.66698804243</c:v>
                </c:pt>
                <c:pt idx="168">
                  <c:v>6529.0441987318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'Aufgabe 6.7'!$D$11</c:f>
              <c:strCache>
                <c:ptCount val="1"/>
                <c:pt idx="0">
                  <c:v> Fab(k)</c:v>
                </c:pt>
              </c:strCache>
            </c:strRef>
          </c:tx>
          <c:val>
            <c:numRef>
              <c:f>'Aufgabe 6.7'!$D$13:$D$181</c:f>
              <c:numCache>
                <c:formatCode>0.00</c:formatCode>
                <c:ptCount val="16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61.55829702431114</c:v>
                </c:pt>
                <c:pt idx="102">
                  <c:v>244.7174185242324</c:v>
                </c:pt>
                <c:pt idx="103">
                  <c:v>544.9673790581605</c:v>
                </c:pt>
                <c:pt idx="104">
                  <c:v>954.9150281252628</c:v>
                </c:pt>
                <c:pt idx="105">
                  <c:v>1464.466094067262</c:v>
                </c:pt>
                <c:pt idx="106">
                  <c:v>2061.073738537634</c:v>
                </c:pt>
                <c:pt idx="107">
                  <c:v>2730.047501302266</c:v>
                </c:pt>
                <c:pt idx="108">
                  <c:v>3454.915028125263</c:v>
                </c:pt>
                <c:pt idx="109">
                  <c:v>4217.827674798845</c:v>
                </c:pt>
                <c:pt idx="110">
                  <c:v>5</c:v>
                </c:pt>
                <c:pt idx="111">
                  <c:v>5782.172325201153</c:v>
                </c:pt>
                <c:pt idx="112">
                  <c:v>6545.084971874737</c:v>
                </c:pt>
                <c:pt idx="113">
                  <c:v>7269.952498697736</c:v>
                </c:pt>
                <c:pt idx="114">
                  <c:v>7938.926261462364</c:v>
                </c:pt>
                <c:pt idx="115">
                  <c:v>8535.533905932737</c:v>
                </c:pt>
                <c:pt idx="116">
                  <c:v>9045.084971874737</c:v>
                </c:pt>
                <c:pt idx="117">
                  <c:v>9455.03262094184</c:v>
                </c:pt>
                <c:pt idx="118">
                  <c:v>9755.282581475768</c:v>
                </c:pt>
                <c:pt idx="119">
                  <c:v>9938.44170297569</c:v>
                </c:pt>
                <c:pt idx="120">
                  <c:v>10000.0</c:v>
                </c:pt>
                <c:pt idx="121">
                  <c:v>9938.44170297569</c:v>
                </c:pt>
                <c:pt idx="122">
                  <c:v>9755.282581475768</c:v>
                </c:pt>
                <c:pt idx="123">
                  <c:v>9455.032620941838</c:v>
                </c:pt>
                <c:pt idx="124">
                  <c:v>9045.084971874737</c:v>
                </c:pt>
                <c:pt idx="125">
                  <c:v>8535.533905932737</c:v>
                </c:pt>
                <c:pt idx="126">
                  <c:v>7938.92626146236</c:v>
                </c:pt>
                <c:pt idx="127">
                  <c:v>7269.952498697735</c:v>
                </c:pt>
                <c:pt idx="128">
                  <c:v>6545.084971874737</c:v>
                </c:pt>
                <c:pt idx="129">
                  <c:v>5782.172325201154</c:v>
                </c:pt>
                <c:pt idx="130">
                  <c:v>5000.000000000001</c:v>
                </c:pt>
                <c:pt idx="131">
                  <c:v>4217.827674798846</c:v>
                </c:pt>
                <c:pt idx="132">
                  <c:v>3454.915028125264</c:v>
                </c:pt>
                <c:pt idx="133">
                  <c:v>2730.047501302263</c:v>
                </c:pt>
                <c:pt idx="134">
                  <c:v>2061.073738537631</c:v>
                </c:pt>
                <c:pt idx="135">
                  <c:v>1464.466094067263</c:v>
                </c:pt>
                <c:pt idx="136">
                  <c:v>954.9150281252633</c:v>
                </c:pt>
                <c:pt idx="137">
                  <c:v>544.9673790581593</c:v>
                </c:pt>
                <c:pt idx="138">
                  <c:v>244.7174185242324</c:v>
                </c:pt>
                <c:pt idx="139">
                  <c:v>61.55829702431171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861816"/>
        <c:axId val="2082864792"/>
      </c:lineChart>
      <c:catAx>
        <c:axId val="20828618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864792"/>
        <c:crosses val="autoZero"/>
        <c:auto val="1"/>
        <c:lblAlgn val="ctr"/>
        <c:lblOffset val="100"/>
        <c:noMultiLvlLbl val="0"/>
      </c:catAx>
      <c:valAx>
        <c:axId val="20828647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2861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02794005588"/>
          <c:y val="0.38273257509478"/>
          <c:w val="0.0826540875938895"/>
          <c:h val="0.253053368328959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Steuerung_2!$B$12</c:f>
              <c:strCache>
                <c:ptCount val="1"/>
                <c:pt idx="0">
                  <c:v>ML/MN</c:v>
                </c:pt>
              </c:strCache>
            </c:strRef>
          </c:tx>
          <c:val>
            <c:numRef>
              <c:f>Steuerung_2!$B$13:$B$113</c:f>
              <c:numCache>
                <c:formatCode>General</c:formatCode>
                <c:ptCount val="10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3.0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4.0</c:v>
                </c:pt>
                <c:pt idx="41">
                  <c:v>4.0</c:v>
                </c:pt>
                <c:pt idx="42">
                  <c:v>4.0</c:v>
                </c:pt>
                <c:pt idx="43">
                  <c:v>4.0</c:v>
                </c:pt>
                <c:pt idx="44">
                  <c:v>4.0</c:v>
                </c:pt>
                <c:pt idx="45">
                  <c:v>4.0</c:v>
                </c:pt>
                <c:pt idx="46">
                  <c:v>4.0</c:v>
                </c:pt>
                <c:pt idx="47">
                  <c:v>4.0</c:v>
                </c:pt>
                <c:pt idx="48">
                  <c:v>4.0</c:v>
                </c:pt>
                <c:pt idx="49">
                  <c:v>4.0</c:v>
                </c:pt>
                <c:pt idx="50">
                  <c:v>4.0</c:v>
                </c:pt>
                <c:pt idx="51">
                  <c:v>4.0</c:v>
                </c:pt>
                <c:pt idx="52">
                  <c:v>4.0</c:v>
                </c:pt>
                <c:pt idx="53">
                  <c:v>4.0</c:v>
                </c:pt>
                <c:pt idx="54">
                  <c:v>4.0</c:v>
                </c:pt>
                <c:pt idx="55">
                  <c:v>4.0</c:v>
                </c:pt>
                <c:pt idx="56">
                  <c:v>4.0</c:v>
                </c:pt>
                <c:pt idx="57">
                  <c:v>4.0</c:v>
                </c:pt>
                <c:pt idx="58">
                  <c:v>4.0</c:v>
                </c:pt>
                <c:pt idx="59">
                  <c:v>4.0</c:v>
                </c:pt>
                <c:pt idx="60">
                  <c:v>4.0</c:v>
                </c:pt>
                <c:pt idx="61">
                  <c:v>4.0</c:v>
                </c:pt>
                <c:pt idx="62">
                  <c:v>4.0</c:v>
                </c:pt>
                <c:pt idx="63">
                  <c:v>4.0</c:v>
                </c:pt>
                <c:pt idx="64">
                  <c:v>4.0</c:v>
                </c:pt>
                <c:pt idx="65">
                  <c:v>4.0</c:v>
                </c:pt>
                <c:pt idx="66">
                  <c:v>4.0</c:v>
                </c:pt>
                <c:pt idx="67">
                  <c:v>4.0</c:v>
                </c:pt>
                <c:pt idx="68">
                  <c:v>4.0</c:v>
                </c:pt>
                <c:pt idx="69">
                  <c:v>4.0</c:v>
                </c:pt>
                <c:pt idx="70">
                  <c:v>4.0</c:v>
                </c:pt>
                <c:pt idx="71">
                  <c:v>4.0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</c:numCache>
            </c:numRef>
          </c:val>
          <c:smooth val="0"/>
        </c:ser>
        <c:ser>
          <c:idx val="8"/>
          <c:order val="1"/>
          <c:tx>
            <c:strRef>
              <c:f>Steuerung_2!$I$12</c:f>
              <c:strCache>
                <c:ptCount val="1"/>
                <c:pt idx="0">
                  <c:v>f(k)/fN</c:v>
                </c:pt>
              </c:strCache>
            </c:strRef>
          </c:tx>
          <c:val>
            <c:numRef>
              <c:f>Steuerung_2!$I$13:$I$113</c:f>
              <c:numCache>
                <c:formatCode>0.00</c:formatCode>
                <c:ptCount val="101"/>
                <c:pt idx="0">
                  <c:v>0.999870354420685</c:v>
                </c:pt>
                <c:pt idx="1">
                  <c:v>0.999884925054075</c:v>
                </c:pt>
                <c:pt idx="2">
                  <c:v>0.999897858120195</c:v>
                </c:pt>
                <c:pt idx="3">
                  <c:v>0.999909337662284</c:v>
                </c:pt>
                <c:pt idx="4">
                  <c:v>0.999919527039292</c:v>
                </c:pt>
                <c:pt idx="5">
                  <c:v>0.999928571250552</c:v>
                </c:pt>
                <c:pt idx="6">
                  <c:v>0.999936598999182</c:v>
                </c:pt>
                <c:pt idx="7">
                  <c:v>0.999943724523587</c:v>
                </c:pt>
                <c:pt idx="8">
                  <c:v>0.999950049223126</c:v>
                </c:pt>
                <c:pt idx="9">
                  <c:v>0.999955663101063</c:v>
                </c:pt>
                <c:pt idx="10">
                  <c:v>0.999960646045359</c:v>
                </c:pt>
                <c:pt idx="11">
                  <c:v>0.993221776922705</c:v>
                </c:pt>
                <c:pt idx="12">
                  <c:v>0.980496985132781</c:v>
                </c:pt>
                <c:pt idx="13">
                  <c:v>0.962459017753773</c:v>
                </c:pt>
                <c:pt idx="14">
                  <c:v>0.939705013030213</c:v>
                </c:pt>
                <c:pt idx="15">
                  <c:v>0.912764997913751</c:v>
                </c:pt>
                <c:pt idx="16">
                  <c:v>0.882109430580614</c:v>
                </c:pt>
                <c:pt idx="17">
                  <c:v>0.848155895259092</c:v>
                </c:pt>
                <c:pt idx="18">
                  <c:v>0.811275044637408</c:v>
                </c:pt>
                <c:pt idx="19">
                  <c:v>0.77179587441507</c:v>
                </c:pt>
                <c:pt idx="20">
                  <c:v>0.730010405056874</c:v>
                </c:pt>
                <c:pt idx="21">
                  <c:v>0.686177837373005</c:v>
                </c:pt>
                <c:pt idx="22">
                  <c:v>0.640528241060969</c:v>
                </c:pt>
                <c:pt idx="23">
                  <c:v>0.593265828698931</c:v>
                </c:pt>
                <c:pt idx="24">
                  <c:v>0.544571861780833</c:v>
                </c:pt>
                <c:pt idx="25">
                  <c:v>0.494607230147453</c:v>
                </c:pt>
                <c:pt idx="26">
                  <c:v>0.443514741519852</c:v>
                </c:pt>
                <c:pt idx="27">
                  <c:v>0.391421153716272</c:v>
                </c:pt>
                <c:pt idx="28">
                  <c:v>0.338438978471837</c:v>
                </c:pt>
                <c:pt idx="29">
                  <c:v>0.284668082530203</c:v>
                </c:pt>
                <c:pt idx="30">
                  <c:v>0.230197108791391</c:v>
                </c:pt>
                <c:pt idx="31">
                  <c:v>0.175104737739387</c:v>
                </c:pt>
                <c:pt idx="32">
                  <c:v>0.119460807100149</c:v>
                </c:pt>
                <c:pt idx="33">
                  <c:v>0.0633273056632715</c:v>
                </c:pt>
                <c:pt idx="34">
                  <c:v>0.00675925540982353</c:v>
                </c:pt>
                <c:pt idx="35">
                  <c:v>-0.0501945055005784</c:v>
                </c:pt>
                <c:pt idx="36">
                  <c:v>-0.107490627741203</c:v>
                </c:pt>
                <c:pt idx="37">
                  <c:v>-0.165090633938153</c:v>
                </c:pt>
                <c:pt idx="38">
                  <c:v>-0.222960371120352</c:v>
                </c:pt>
                <c:pt idx="39">
                  <c:v>-0.28106952470769</c:v>
                </c:pt>
                <c:pt idx="40">
                  <c:v>-0.339391187121172</c:v>
                </c:pt>
                <c:pt idx="41">
                  <c:v>-0.391158182833386</c:v>
                </c:pt>
                <c:pt idx="42">
                  <c:v>-0.437107179041162</c:v>
                </c:pt>
                <c:pt idx="43">
                  <c:v>-0.477892050240557</c:v>
                </c:pt>
                <c:pt idx="44">
                  <c:v>-0.514093183149522</c:v>
                </c:pt>
                <c:pt idx="45">
                  <c:v>-0.54622573586706</c:v>
                </c:pt>
                <c:pt idx="46">
                  <c:v>-0.574746968800343</c:v>
                </c:pt>
                <c:pt idx="47">
                  <c:v>-0.600062751682125</c:v>
                </c:pt>
                <c:pt idx="48">
                  <c:v>-0.622533339276171</c:v>
                </c:pt>
                <c:pt idx="49">
                  <c:v>-0.642478497961548</c:v>
                </c:pt>
                <c:pt idx="50">
                  <c:v>-0.660182056149331</c:v>
                </c:pt>
                <c:pt idx="51">
                  <c:v>-0.675895943286163</c:v>
                </c:pt>
                <c:pt idx="52">
                  <c:v>-0.689843774921472</c:v>
                </c:pt>
                <c:pt idx="53">
                  <c:v>-0.702224034855435</c:v>
                </c:pt>
                <c:pt idx="54">
                  <c:v>-0.713212899651054</c:v>
                </c:pt>
                <c:pt idx="55">
                  <c:v>-0.722966745704411</c:v>
                </c:pt>
                <c:pt idx="56">
                  <c:v>-0.731624374549795</c:v>
                </c:pt>
                <c:pt idx="57">
                  <c:v>-0.739308988066801</c:v>
                </c:pt>
                <c:pt idx="58">
                  <c:v>-0.746129941697452</c:v>
                </c:pt>
                <c:pt idx="59">
                  <c:v>-0.752184300622405</c:v>
                </c:pt>
                <c:pt idx="60">
                  <c:v>-0.757558221041308</c:v>
                </c:pt>
                <c:pt idx="61">
                  <c:v>-0.762328176213554</c:v>
                </c:pt>
                <c:pt idx="62">
                  <c:v>-0.766562044706507</c:v>
                </c:pt>
                <c:pt idx="63">
                  <c:v>-0.77032007633748</c:v>
                </c:pt>
                <c:pt idx="64">
                  <c:v>-0.773655749555224</c:v>
                </c:pt>
                <c:pt idx="65">
                  <c:v>-0.776616532461857</c:v>
                </c:pt>
                <c:pt idx="66">
                  <c:v>-0.77924455830491</c:v>
                </c:pt>
                <c:pt idx="67">
                  <c:v>-0.781577225052035</c:v>
                </c:pt>
                <c:pt idx="68">
                  <c:v>-0.783647727580586</c:v>
                </c:pt>
                <c:pt idx="69">
                  <c:v>-0.78548553005538</c:v>
                </c:pt>
                <c:pt idx="70">
                  <c:v>-0.787116785216765</c:v>
                </c:pt>
                <c:pt idx="71">
                  <c:v>-0.788564706545658</c:v>
                </c:pt>
                <c:pt idx="72">
                  <c:v>-0.520118216889322</c:v>
                </c:pt>
                <c:pt idx="73">
                  <c:v>-0.281841945193306</c:v>
                </c:pt>
                <c:pt idx="74">
                  <c:v>-0.0703451149459161</c:v>
                </c:pt>
                <c:pt idx="75">
                  <c:v>0.11738196709337</c:v>
                </c:pt>
                <c:pt idx="76">
                  <c:v>0.284010740157073</c:v>
                </c:pt>
                <c:pt idx="77">
                  <c:v>0.431912405229055</c:v>
                </c:pt>
                <c:pt idx="78">
                  <c:v>0.563191668281073</c:v>
                </c:pt>
                <c:pt idx="79">
                  <c:v>0.679716691167685</c:v>
                </c:pt>
                <c:pt idx="80">
                  <c:v>0.783145676393977</c:v>
                </c:pt>
                <c:pt idx="81">
                  <c:v>0.874950464069067</c:v>
                </c:pt>
                <c:pt idx="82">
                  <c:v>0.956437476840472</c:v>
                </c:pt>
                <c:pt idx="83">
                  <c:v>1.028766310864985</c:v>
                </c:pt>
                <c:pt idx="84">
                  <c:v>1.092966237373781</c:v>
                </c:pt>
                <c:pt idx="85">
                  <c:v>1.149950849656316</c:v>
                </c:pt>
                <c:pt idx="86">
                  <c:v>1.200531063896064</c:v>
                </c:pt>
                <c:pt idx="87">
                  <c:v>1.245426658865705</c:v>
                </c:pt>
                <c:pt idx="88">
                  <c:v>1.285276518696747</c:v>
                </c:pt>
                <c:pt idx="89">
                  <c:v>1.320647724482696</c:v>
                </c:pt>
                <c:pt idx="90">
                  <c:v>1.352043624093296</c:v>
                </c:pt>
                <c:pt idx="91">
                  <c:v>1.37991099503688</c:v>
                </c:pt>
                <c:pt idx="92">
                  <c:v>1.404646402301501</c:v>
                </c:pt>
                <c:pt idx="93">
                  <c:v>1.426601841649736</c:v>
                </c:pt>
                <c:pt idx="94">
                  <c:v>1.446089748673749</c:v>
                </c:pt>
                <c:pt idx="95">
                  <c:v>1.463387444891663</c:v>
                </c:pt>
                <c:pt idx="96">
                  <c:v>1.478741084155157</c:v>
                </c:pt>
                <c:pt idx="97">
                  <c:v>1.492369155527424</c:v>
                </c:pt>
                <c:pt idx="98">
                  <c:v>1.504465592478967</c:v>
                </c:pt>
                <c:pt idx="99">
                  <c:v>1.515202532646482</c:v>
                </c:pt>
                <c:pt idx="100">
                  <c:v>1.524732767427402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6741720"/>
        <c:axId val="2046744664"/>
      </c:lineChart>
      <c:catAx>
        <c:axId val="2046741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46744664"/>
        <c:crosses val="autoZero"/>
        <c:auto val="1"/>
        <c:lblAlgn val="ctr"/>
        <c:lblOffset val="100"/>
        <c:noMultiLvlLbl val="0"/>
      </c:catAx>
      <c:valAx>
        <c:axId val="2046744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de-DE"/>
          </a:p>
        </c:txPr>
        <c:crossAx val="2046741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9151833538102"/>
          <c:y val="0.0601851851851852"/>
          <c:w val="0.786135195821506"/>
          <c:h val="0.822469378827647"/>
        </c:manualLayout>
      </c:layout>
      <c:lineChart>
        <c:grouping val="standard"/>
        <c:varyColors val="0"/>
        <c:ser>
          <c:idx val="0"/>
          <c:order val="0"/>
          <c:tx>
            <c:strRef>
              <c:f>'Aufgabe 6.7'!$L$11</c:f>
              <c:strCache>
                <c:ptCount val="1"/>
                <c:pt idx="0">
                  <c:v>Δd=Σ(Δv*Δt)</c:v>
                </c:pt>
              </c:strCache>
            </c:strRef>
          </c:tx>
          <c:val>
            <c:numRef>
              <c:f>'Aufgabe 6.7'!$L$13:$L$181</c:f>
              <c:numCache>
                <c:formatCode>0.00</c:formatCode>
                <c:ptCount val="169"/>
                <c:pt idx="0">
                  <c:v>-0.0234146341463415</c:v>
                </c:pt>
                <c:pt idx="1">
                  <c:v>-0.0684164187983345</c:v>
                </c:pt>
                <c:pt idx="2">
                  <c:v>-0.133320503184807</c:v>
                </c:pt>
                <c:pt idx="3">
                  <c:v>-0.216573537082579</c:v>
                </c:pt>
                <c:pt idx="4">
                  <c:v>-0.316743407359061</c:v>
                </c:pt>
                <c:pt idx="5">
                  <c:v>-0.432509775565185</c:v>
                </c:pt>
                <c:pt idx="6">
                  <c:v>-0.56265535405766</c:v>
                </c:pt>
                <c:pt idx="7">
                  <c:v>-0.706057863009259</c:v>
                </c:pt>
                <c:pt idx="8">
                  <c:v>-0.861682615164637</c:v>
                </c:pt>
                <c:pt idx="9">
                  <c:v>-1.028575679346912</c:v>
                </c:pt>
                <c:pt idx="10">
                  <c:v>-1.205857577544229</c:v>
                </c:pt>
                <c:pt idx="11">
                  <c:v>-1.392717473931025</c:v>
                </c:pt>
                <c:pt idx="12">
                  <c:v>-1.588407817429095</c:v>
                </c:pt>
                <c:pt idx="13">
                  <c:v>-1.792239402410243</c:v>
                </c:pt>
                <c:pt idx="14">
                  <c:v>-2.003576814905057</c:v>
                </c:pt>
                <c:pt idx="15">
                  <c:v>-2.221834234229546</c:v>
                </c:pt>
                <c:pt idx="16">
                  <c:v>-2.446471562289684</c:v>
                </c:pt>
                <c:pt idx="17">
                  <c:v>-2.676990854989031</c:v>
                </c:pt>
                <c:pt idx="18">
                  <c:v>-2.912933032160625</c:v>
                </c:pt>
                <c:pt idx="19">
                  <c:v>-3.15387484428468</c:v>
                </c:pt>
                <c:pt idx="20">
                  <c:v>-3.399426075950271</c:v>
                </c:pt>
                <c:pt idx="21">
                  <c:v>-3.649226967583427</c:v>
                </c:pt>
                <c:pt idx="22">
                  <c:v>-3.90294583840619</c:v>
                </c:pt>
                <c:pt idx="23">
                  <c:v>-4.160276894920835</c:v>
                </c:pt>
                <c:pt idx="24">
                  <c:v>-4.420938210439217</c:v>
                </c:pt>
                <c:pt idx="25">
                  <c:v>-4.684669862307382</c:v>
                </c:pt>
                <c:pt idx="26">
                  <c:v>-4.951232214517545</c:v>
                </c:pt>
                <c:pt idx="27">
                  <c:v>-5.220404334360086</c:v>
                </c:pt>
                <c:pt idx="28">
                  <c:v>-5.491982532653941</c:v>
                </c:pt>
                <c:pt idx="29">
                  <c:v>-5.765779017910227</c:v>
                </c:pt>
                <c:pt idx="30">
                  <c:v>-6.041620655536754</c:v>
                </c:pt>
                <c:pt idx="31">
                  <c:v>-6.317374552313386</c:v>
                </c:pt>
                <c:pt idx="32">
                  <c:v>-6.588954789324644</c:v>
                </c:pt>
                <c:pt idx="33">
                  <c:v>-6.852310265646952</c:v>
                </c:pt>
                <c:pt idx="34">
                  <c:v>-7.103439254274089</c:v>
                </c:pt>
                <c:pt idx="35">
                  <c:v>-7.338403874945913</c:v>
                </c:pt>
                <c:pt idx="36">
                  <c:v>-7.553344418039974</c:v>
                </c:pt>
                <c:pt idx="37">
                  <c:v>-7.744493454954277</c:v>
                </c:pt>
                <c:pt idx="38">
                  <c:v>-7.908189671879729</c:v>
                </c:pt>
                <c:pt idx="39">
                  <c:v>-8.040891365531111</c:v>
                </c:pt>
                <c:pt idx="40">
                  <c:v>-8.139189541273035</c:v>
                </c:pt>
                <c:pt idx="41">
                  <c:v>-8.199820556138378</c:v>
                </c:pt>
                <c:pt idx="42">
                  <c:v>-8.219678251486257</c:v>
                </c:pt>
                <c:pt idx="43">
                  <c:v>-8.195825522478861</c:v>
                </c:pt>
                <c:pt idx="44">
                  <c:v>-8.125505274164526</c:v>
                </c:pt>
                <c:pt idx="45">
                  <c:v>-8.006150716730601</c:v>
                </c:pt>
                <c:pt idx="46">
                  <c:v>-7.835394955425261</c:v>
                </c:pt>
                <c:pt idx="47">
                  <c:v>-7.611079833733122</c:v>
                </c:pt>
                <c:pt idx="48">
                  <c:v>-7.331263991615082</c:v>
                </c:pt>
                <c:pt idx="49">
                  <c:v>-6.994230103977281</c:v>
                </c:pt>
                <c:pt idx="50">
                  <c:v>-6.598491268006137</c:v>
                </c:pt>
                <c:pt idx="51">
                  <c:v>-6.14279651158362</c:v>
                </c:pt>
                <c:pt idx="52">
                  <c:v>-5.626135398666842</c:v>
                </c:pt>
                <c:pt idx="53">
                  <c:v>-5.047741711265424</c:v>
                </c:pt>
                <c:pt idx="54">
                  <c:v>-4.407096191465365</c:v>
                </c:pt>
                <c:pt idx="55">
                  <c:v>-3.703928330815359</c:v>
                </c:pt>
                <c:pt idx="56">
                  <c:v>-2.938217198296527</c:v>
                </c:pt>
                <c:pt idx="57">
                  <c:v>-2.110191302024813</c:v>
                </c:pt>
                <c:pt idx="58">
                  <c:v>-1.220327483772258</c:v>
                </c:pt>
                <c:pt idx="59">
                  <c:v>-0.269348849324326</c:v>
                </c:pt>
                <c:pt idx="60">
                  <c:v>0.74177825839941</c:v>
                </c:pt>
                <c:pt idx="61">
                  <c:v>1.811848232659312</c:v>
                </c:pt>
                <c:pt idx="62">
                  <c:v>2.939421108018128</c:v>
                </c:pt>
                <c:pt idx="63">
                  <c:v>4.122828378885782</c:v>
                </c:pt>
                <c:pt idx="64">
                  <c:v>5.360179709419716</c:v>
                </c:pt>
                <c:pt idx="65">
                  <c:v>6.649370509126253</c:v>
                </c:pt>
                <c:pt idx="66">
                  <c:v>7.988090345027422</c:v>
                </c:pt>
                <c:pt idx="67">
                  <c:v>9.37383215789669</c:v>
                </c:pt>
                <c:pt idx="68">
                  <c:v>10.80390224683893</c:v>
                </c:pt>
                <c:pt idx="69">
                  <c:v>12.27543098340709</c:v>
                </c:pt>
                <c:pt idx="70">
                  <c:v>13.78538421352232</c:v>
                </c:pt>
                <c:pt idx="71">
                  <c:v>13.48624737720482</c:v>
                </c:pt>
                <c:pt idx="72">
                  <c:v>13.18704317201454</c:v>
                </c:pt>
                <c:pt idx="73">
                  <c:v>12.88777685600985</c:v>
                </c:pt>
                <c:pt idx="74">
                  <c:v>12.58845327686406</c:v>
                </c:pt>
                <c:pt idx="75">
                  <c:v>12.2890769038955</c:v>
                </c:pt>
                <c:pt idx="76">
                  <c:v>11.98965185759766</c:v>
                </c:pt>
                <c:pt idx="77">
                  <c:v>11.69018193686452</c:v>
                </c:pt>
                <c:pt idx="78">
                  <c:v>11.39067064409105</c:v>
                </c:pt>
                <c:pt idx="79">
                  <c:v>11.09112120831453</c:v>
                </c:pt>
                <c:pt idx="80">
                  <c:v>10.79153660654983</c:v>
                </c:pt>
                <c:pt idx="81">
                  <c:v>10.49191958345946</c:v>
                </c:pt>
                <c:pt idx="82">
                  <c:v>10.19227266948833</c:v>
                </c:pt>
                <c:pt idx="83">
                  <c:v>9.892598197583238</c:v>
                </c:pt>
                <c:pt idx="84">
                  <c:v>9.592898318607327</c:v>
                </c:pt>
                <c:pt idx="85">
                  <c:v>9.293175015551487</c:v>
                </c:pt>
                <c:pt idx="86">
                  <c:v>8.99343011663659</c:v>
                </c:pt>
                <c:pt idx="87">
                  <c:v>8.693665307393098</c:v>
                </c:pt>
                <c:pt idx="88">
                  <c:v>8.39388214179788</c:v>
                </c:pt>
                <c:pt idx="89">
                  <c:v>8.0940820525418</c:v>
                </c:pt>
                <c:pt idx="90">
                  <c:v>7.794266360495951</c:v>
                </c:pt>
                <c:pt idx="91">
                  <c:v>7.494436283439046</c:v>
                </c:pt>
                <c:pt idx="92">
                  <c:v>7.194592944103655</c:v>
                </c:pt>
                <c:pt idx="93">
                  <c:v>6.894737377594441</c:v>
                </c:pt>
                <c:pt idx="94">
                  <c:v>6.59487053822741</c:v>
                </c:pt>
                <c:pt idx="95">
                  <c:v>6.294993305835365</c:v>
                </c:pt>
                <c:pt idx="96">
                  <c:v>5.995106491581236</c:v>
                </c:pt>
                <c:pt idx="97">
                  <c:v>5.695210843317674</c:v>
                </c:pt>
                <c:pt idx="98">
                  <c:v>5.39530705052834</c:v>
                </c:pt>
                <c:pt idx="99">
                  <c:v>5.09539574888354</c:v>
                </c:pt>
                <c:pt idx="100">
                  <c:v>4.795477524440285</c:v>
                </c:pt>
                <c:pt idx="101">
                  <c:v>4.496153486266008</c:v>
                </c:pt>
                <c:pt idx="102">
                  <c:v>4.19916417710557</c:v>
                </c:pt>
                <c:pt idx="103">
                  <c:v>3.907256642114318</c:v>
                </c:pt>
                <c:pt idx="104">
                  <c:v>3.624033744274826</c:v>
                </c:pt>
                <c:pt idx="105">
                  <c:v>3.353788888160047</c:v>
                </c:pt>
                <c:pt idx="106">
                  <c:v>3.101329715825324</c:v>
                </c:pt>
                <c:pt idx="107">
                  <c:v>2.871794649636749</c:v>
                </c:pt>
                <c:pt idx="108">
                  <c:v>2.670466369376308</c:v>
                </c:pt>
                <c:pt idx="109">
                  <c:v>2.502586420012281</c:v>
                </c:pt>
                <c:pt idx="110">
                  <c:v>2.373175149623007</c:v>
                </c:pt>
                <c:pt idx="111">
                  <c:v>2.286861074241687</c:v>
                </c:pt>
                <c:pt idx="112">
                  <c:v>2.247723560566956</c:v>
                </c:pt>
                <c:pt idx="113">
                  <c:v>2.259152413800474</c:v>
                </c:pt>
                <c:pt idx="114">
                  <c:v>2.32372756396662</c:v>
                </c:pt>
                <c:pt idx="115">
                  <c:v>2.443121569787432</c:v>
                </c:pt>
                <c:pt idx="116">
                  <c:v>2.61802711634296</c:v>
                </c:pt>
                <c:pt idx="117">
                  <c:v>2.84811108483505</c:v>
                </c:pt>
                <c:pt idx="118">
                  <c:v>3.13199613462996</c:v>
                </c:pt>
                <c:pt idx="119">
                  <c:v>3.467270075201614</c:v>
                </c:pt>
                <c:pt idx="120">
                  <c:v>3.850522635045725</c:v>
                </c:pt>
                <c:pt idx="121">
                  <c:v>4.277408572687132</c:v>
                </c:pt>
                <c:pt idx="122">
                  <c:v>4.742735437941655</c:v>
                </c:pt>
                <c:pt idx="123">
                  <c:v>5.240573695380623</c:v>
                </c:pt>
                <c:pt idx="124">
                  <c:v>5.76438638123289</c:v>
                </c:pt>
                <c:pt idx="125">
                  <c:v>6.307174993125298</c:v>
                </c:pt>
                <c:pt idx="126">
                  <c:v>6.861637920786712</c:v>
                </c:pt>
                <c:pt idx="127">
                  <c:v>7.420337424813066</c:v>
                </c:pt>
                <c:pt idx="128">
                  <c:v>7.975870967275166</c:v>
                </c:pt>
                <c:pt idx="129">
                  <c:v>8.521042597400722</c:v>
                </c:pt>
                <c:pt idx="130">
                  <c:v>9.049030100296967</c:v>
                </c:pt>
                <c:pt idx="131">
                  <c:v>9.553543726623736</c:v>
                </c:pt>
                <c:pt idx="132">
                  <c:v>10.02897253360915</c:v>
                </c:pt>
                <c:pt idx="133">
                  <c:v>10.47051467762304</c:v>
                </c:pt>
                <c:pt idx="134">
                  <c:v>10.87428839808988</c:v>
                </c:pt>
                <c:pt idx="135">
                  <c:v>11.23742091202337</c:v>
                </c:pt>
                <c:pt idx="136">
                  <c:v>11.55811298611937</c:v>
                </c:pt>
                <c:pt idx="137">
                  <c:v>11.83567755569138</c:v>
                </c:pt>
                <c:pt idx="138">
                  <c:v>12.07055140196531</c:v>
                </c:pt>
                <c:pt idx="139">
                  <c:v>12.26427956557421</c:v>
                </c:pt>
                <c:pt idx="140">
                  <c:v>12.41947284812094</c:v>
                </c:pt>
                <c:pt idx="141">
                  <c:v>12.53913885007866</c:v>
                </c:pt>
                <c:pt idx="142">
                  <c:v>12.62605043237139</c:v>
                </c:pt>
                <c:pt idx="143">
                  <c:v>12.68276403750956</c:v>
                </c:pt>
                <c:pt idx="144">
                  <c:v>12.71163658078329</c:v>
                </c:pt>
                <c:pt idx="145">
                  <c:v>12.71484102311859</c:v>
                </c:pt>
                <c:pt idx="146">
                  <c:v>12.69438072849112</c:v>
                </c:pt>
                <c:pt idx="147">
                  <c:v>12.65210270076141</c:v>
                </c:pt>
                <c:pt idx="148">
                  <c:v>12.5897097873911</c:v>
                </c:pt>
                <c:pt idx="149">
                  <c:v>12.50877193067407</c:v>
                </c:pt>
                <c:pt idx="150">
                  <c:v>12.41073654082277</c:v>
                </c:pt>
                <c:pt idx="151">
                  <c:v>12.29693805944766</c:v>
                </c:pt>
                <c:pt idx="152">
                  <c:v>12.1686067766189</c:v>
                </c:pt>
                <c:pt idx="153">
                  <c:v>12.02687695976702</c:v>
                </c:pt>
                <c:pt idx="154">
                  <c:v>11.87279434813285</c:v>
                </c:pt>
                <c:pt idx="155">
                  <c:v>11.70732306228476</c:v>
                </c:pt>
                <c:pt idx="156">
                  <c:v>11.53135197435652</c:v>
                </c:pt>
                <c:pt idx="157">
                  <c:v>11.34570058109585</c:v>
                </c:pt>
                <c:pt idx="158">
                  <c:v>11.1511244185287</c:v>
                </c:pt>
                <c:pt idx="159">
                  <c:v>10.94832005401557</c:v>
                </c:pt>
                <c:pt idx="160">
                  <c:v>10.73792968868395</c:v>
                </c:pt>
                <c:pt idx="161">
                  <c:v>10.5205454006465</c:v>
                </c:pt>
                <c:pt idx="162">
                  <c:v>10.29671305704125</c:v>
                </c:pt>
                <c:pt idx="163">
                  <c:v>10.06693592074177</c:v>
                </c:pt>
                <c:pt idx="164">
                  <c:v>9.831677975568103</c:v>
                </c:pt>
                <c:pt idx="165">
                  <c:v>9.591366991968968</c:v>
                </c:pt>
                <c:pt idx="166">
                  <c:v>9.346397353431228</c:v>
                </c:pt>
                <c:pt idx="167">
                  <c:v>9.097132662291555</c:v>
                </c:pt>
                <c:pt idx="168">
                  <c:v>8.843908142167661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6.7'!$M$11</c:f>
              <c:strCache>
                <c:ptCount val="1"/>
                <c:pt idx="0">
                  <c:v> d = d0 + Δd</c:v>
                </c:pt>
              </c:strCache>
            </c:strRef>
          </c:tx>
          <c:val>
            <c:numRef>
              <c:f>'Aufgabe 6.7'!$M$13:$M$181</c:f>
              <c:numCache>
                <c:formatCode>0.00</c:formatCode>
                <c:ptCount val="169"/>
                <c:pt idx="0">
                  <c:v>49.97658536585366</c:v>
                </c:pt>
                <c:pt idx="1">
                  <c:v>49.93158358120166</c:v>
                </c:pt>
                <c:pt idx="2">
                  <c:v>49.86667949681519</c:v>
                </c:pt>
                <c:pt idx="3">
                  <c:v>49.78342646291742</c:v>
                </c:pt>
                <c:pt idx="4">
                  <c:v>49.68325659264094</c:v>
                </c:pt>
                <c:pt idx="5">
                  <c:v>49.56749022443481</c:v>
                </c:pt>
                <c:pt idx="6">
                  <c:v>49.43734464594234</c:v>
                </c:pt>
                <c:pt idx="7">
                  <c:v>49.29394213699074</c:v>
                </c:pt>
                <c:pt idx="8">
                  <c:v>49.13831738483536</c:v>
                </c:pt>
                <c:pt idx="9">
                  <c:v>48.97142432065309</c:v>
                </c:pt>
                <c:pt idx="10">
                  <c:v>48.79414242245577</c:v>
                </c:pt>
                <c:pt idx="11">
                  <c:v>48.60728252606898</c:v>
                </c:pt>
                <c:pt idx="12">
                  <c:v>48.4115921825709</c:v>
                </c:pt>
                <c:pt idx="13">
                  <c:v>48.20776059758975</c:v>
                </c:pt>
                <c:pt idx="14">
                  <c:v>47.99642318509494</c:v>
                </c:pt>
                <c:pt idx="15">
                  <c:v>47.77816576577045</c:v>
                </c:pt>
                <c:pt idx="16">
                  <c:v>47.55352843771031</c:v>
                </c:pt>
                <c:pt idx="17">
                  <c:v>47.32300914501097</c:v>
                </c:pt>
                <c:pt idx="18">
                  <c:v>47.08706696783938</c:v>
                </c:pt>
                <c:pt idx="19">
                  <c:v>46.84612515571532</c:v>
                </c:pt>
                <c:pt idx="20">
                  <c:v>46.60057392404972</c:v>
                </c:pt>
                <c:pt idx="21">
                  <c:v>46.35077303241658</c:v>
                </c:pt>
                <c:pt idx="22">
                  <c:v>46.09705416159381</c:v>
                </c:pt>
                <c:pt idx="23">
                  <c:v>45.83972310507917</c:v>
                </c:pt>
                <c:pt idx="24">
                  <c:v>45.57906178956078</c:v>
                </c:pt>
                <c:pt idx="25">
                  <c:v>45.31533013769262</c:v>
                </c:pt>
                <c:pt idx="26">
                  <c:v>45.04876778548245</c:v>
                </c:pt>
                <c:pt idx="27">
                  <c:v>44.77959566563992</c:v>
                </c:pt>
                <c:pt idx="28">
                  <c:v>44.50801746734606</c:v>
                </c:pt>
                <c:pt idx="29">
                  <c:v>44.23422098208977</c:v>
                </c:pt>
                <c:pt idx="30">
                  <c:v>43.95837934446324</c:v>
                </c:pt>
                <c:pt idx="31">
                  <c:v>43.68262544768661</c:v>
                </c:pt>
                <c:pt idx="32">
                  <c:v>43.41104521067535</c:v>
                </c:pt>
                <c:pt idx="33">
                  <c:v>43.14768973435305</c:v>
                </c:pt>
                <c:pt idx="34">
                  <c:v>42.89656074572591</c:v>
                </c:pt>
                <c:pt idx="35">
                  <c:v>42.66159612505409</c:v>
                </c:pt>
                <c:pt idx="36">
                  <c:v>42.44665558196002</c:v>
                </c:pt>
                <c:pt idx="37">
                  <c:v>42.25550654504572</c:v>
                </c:pt>
                <c:pt idx="38">
                  <c:v>42.09181032812027</c:v>
                </c:pt>
                <c:pt idx="39">
                  <c:v>41.9591086344689</c:v>
                </c:pt>
                <c:pt idx="40">
                  <c:v>41.86081045872697</c:v>
                </c:pt>
                <c:pt idx="41">
                  <c:v>41.80017944386162</c:v>
                </c:pt>
                <c:pt idx="42">
                  <c:v>41.78032174851374</c:v>
                </c:pt>
                <c:pt idx="43">
                  <c:v>41.80417447752114</c:v>
                </c:pt>
                <c:pt idx="44">
                  <c:v>41.87449472583548</c:v>
                </c:pt>
                <c:pt idx="45">
                  <c:v>41.9938492832694</c:v>
                </c:pt>
                <c:pt idx="46">
                  <c:v>42.16460504457474</c:v>
                </c:pt>
                <c:pt idx="47">
                  <c:v>42.38892016626688</c:v>
                </c:pt>
                <c:pt idx="48">
                  <c:v>42.66873600838491</c:v>
                </c:pt>
                <c:pt idx="49">
                  <c:v>43.00576989602272</c:v>
                </c:pt>
                <c:pt idx="50">
                  <c:v>43.40150873199386</c:v>
                </c:pt>
                <c:pt idx="51">
                  <c:v>43.85720348841638</c:v>
                </c:pt>
                <c:pt idx="52">
                  <c:v>44.37386460133316</c:v>
                </c:pt>
                <c:pt idx="53">
                  <c:v>44.95225828873458</c:v>
                </c:pt>
                <c:pt idx="54">
                  <c:v>45.59290380853463</c:v>
                </c:pt>
                <c:pt idx="55">
                  <c:v>46.29607166918464</c:v>
                </c:pt>
                <c:pt idx="56">
                  <c:v>47.06178280170347</c:v>
                </c:pt>
                <c:pt idx="57">
                  <c:v>47.88980869797518</c:v>
                </c:pt>
                <c:pt idx="58">
                  <c:v>48.77967251622774</c:v>
                </c:pt>
                <c:pt idx="59">
                  <c:v>49.73065115067568</c:v>
                </c:pt>
                <c:pt idx="60">
                  <c:v>50.74177825839941</c:v>
                </c:pt>
                <c:pt idx="61">
                  <c:v>51.81184823265932</c:v>
                </c:pt>
                <c:pt idx="62">
                  <c:v>52.93942110801813</c:v>
                </c:pt>
                <c:pt idx="63">
                  <c:v>54.12282837888578</c:v>
                </c:pt>
                <c:pt idx="64">
                  <c:v>55.36017970941972</c:v>
                </c:pt>
                <c:pt idx="65">
                  <c:v>56.64937050912626</c:v>
                </c:pt>
                <c:pt idx="66">
                  <c:v>57.98809034502742</c:v>
                </c:pt>
                <c:pt idx="67">
                  <c:v>59.37383215789669</c:v>
                </c:pt>
                <c:pt idx="68">
                  <c:v>60.80390224683893</c:v>
                </c:pt>
                <c:pt idx="69">
                  <c:v>62.2754309834071</c:v>
                </c:pt>
                <c:pt idx="70">
                  <c:v>63.78538421352232</c:v>
                </c:pt>
                <c:pt idx="71">
                  <c:v>63.48624737720482</c:v>
                </c:pt>
                <c:pt idx="72">
                  <c:v>63.18704317201454</c:v>
                </c:pt>
                <c:pt idx="73">
                  <c:v>62.88777685600985</c:v>
                </c:pt>
                <c:pt idx="74">
                  <c:v>62.58845327686406</c:v>
                </c:pt>
                <c:pt idx="75">
                  <c:v>62.2890769038955</c:v>
                </c:pt>
                <c:pt idx="76">
                  <c:v>61.98965185759766</c:v>
                </c:pt>
                <c:pt idx="77">
                  <c:v>61.69018193686452</c:v>
                </c:pt>
                <c:pt idx="78">
                  <c:v>61.39067064409104</c:v>
                </c:pt>
                <c:pt idx="79">
                  <c:v>61.09112120831453</c:v>
                </c:pt>
                <c:pt idx="80">
                  <c:v>60.79153660654983</c:v>
                </c:pt>
                <c:pt idx="81">
                  <c:v>60.49191958345946</c:v>
                </c:pt>
                <c:pt idx="82">
                  <c:v>60.19227266948832</c:v>
                </c:pt>
                <c:pt idx="83">
                  <c:v>59.89259819758324</c:v>
                </c:pt>
                <c:pt idx="84">
                  <c:v>59.59289831860732</c:v>
                </c:pt>
                <c:pt idx="85">
                  <c:v>59.29317501555148</c:v>
                </c:pt>
                <c:pt idx="86">
                  <c:v>58.99343011663659</c:v>
                </c:pt>
                <c:pt idx="87">
                  <c:v>58.6936653073931</c:v>
                </c:pt>
                <c:pt idx="88">
                  <c:v>58.39388214179788</c:v>
                </c:pt>
                <c:pt idx="89">
                  <c:v>58.0940820525418</c:v>
                </c:pt>
                <c:pt idx="90">
                  <c:v>57.79426636049595</c:v>
                </c:pt>
                <c:pt idx="91">
                  <c:v>57.49443628343904</c:v>
                </c:pt>
                <c:pt idx="92">
                  <c:v>57.19459294410365</c:v>
                </c:pt>
                <c:pt idx="93">
                  <c:v>56.89473737759444</c:v>
                </c:pt>
                <c:pt idx="94">
                  <c:v>56.59487053822741</c:v>
                </c:pt>
                <c:pt idx="95">
                  <c:v>56.29499330583536</c:v>
                </c:pt>
                <c:pt idx="96">
                  <c:v>55.99510649158124</c:v>
                </c:pt>
                <c:pt idx="97">
                  <c:v>55.69521084331767</c:v>
                </c:pt>
                <c:pt idx="98">
                  <c:v>55.39530705052834</c:v>
                </c:pt>
                <c:pt idx="99">
                  <c:v>55.09539574888353</c:v>
                </c:pt>
                <c:pt idx="100">
                  <c:v>54.79547752444029</c:v>
                </c:pt>
                <c:pt idx="101">
                  <c:v>54.49615348626601</c:v>
                </c:pt>
                <c:pt idx="102">
                  <c:v>54.19916417710557</c:v>
                </c:pt>
                <c:pt idx="103">
                  <c:v>53.90725664211432</c:v>
                </c:pt>
                <c:pt idx="104">
                  <c:v>53.62403374427482</c:v>
                </c:pt>
                <c:pt idx="105">
                  <c:v>53.35378888816005</c:v>
                </c:pt>
                <c:pt idx="106">
                  <c:v>53.10132971582532</c:v>
                </c:pt>
                <c:pt idx="107">
                  <c:v>52.87179464963675</c:v>
                </c:pt>
                <c:pt idx="108">
                  <c:v>52.67046636937631</c:v>
                </c:pt>
                <c:pt idx="109">
                  <c:v>52.50258642001228</c:v>
                </c:pt>
                <c:pt idx="110">
                  <c:v>52.37317514962301</c:v>
                </c:pt>
                <c:pt idx="111">
                  <c:v>52.28686107424168</c:v>
                </c:pt>
                <c:pt idx="112">
                  <c:v>52.24772356056695</c:v>
                </c:pt>
                <c:pt idx="113">
                  <c:v>52.25915241380047</c:v>
                </c:pt>
                <c:pt idx="114">
                  <c:v>52.32372756396662</c:v>
                </c:pt>
                <c:pt idx="115">
                  <c:v>52.44312156978743</c:v>
                </c:pt>
                <c:pt idx="116">
                  <c:v>52.61802711634296</c:v>
                </c:pt>
                <c:pt idx="117">
                  <c:v>52.84811108483504</c:v>
                </c:pt>
                <c:pt idx="118">
                  <c:v>53.13199613462995</c:v>
                </c:pt>
                <c:pt idx="119">
                  <c:v>53.46727007520161</c:v>
                </c:pt>
                <c:pt idx="120">
                  <c:v>53.85052263504573</c:v>
                </c:pt>
                <c:pt idx="121">
                  <c:v>54.27740857268713</c:v>
                </c:pt>
                <c:pt idx="122">
                  <c:v>54.74273543794165</c:v>
                </c:pt>
                <c:pt idx="123">
                  <c:v>55.24057369538063</c:v>
                </c:pt>
                <c:pt idx="124">
                  <c:v>55.76438638123289</c:v>
                </c:pt>
                <c:pt idx="125">
                  <c:v>56.3071749931253</c:v>
                </c:pt>
                <c:pt idx="126">
                  <c:v>56.86163792078671</c:v>
                </c:pt>
                <c:pt idx="127">
                  <c:v>57.42033742481307</c:v>
                </c:pt>
                <c:pt idx="128">
                  <c:v>57.97587096727516</c:v>
                </c:pt>
                <c:pt idx="129">
                  <c:v>58.52104259740072</c:v>
                </c:pt>
                <c:pt idx="130">
                  <c:v>59.04903010029697</c:v>
                </c:pt>
                <c:pt idx="131">
                  <c:v>59.55354372662374</c:v>
                </c:pt>
                <c:pt idx="132">
                  <c:v>60.02897253360914</c:v>
                </c:pt>
                <c:pt idx="133">
                  <c:v>60.47051467762304</c:v>
                </c:pt>
                <c:pt idx="134">
                  <c:v>60.87428839808987</c:v>
                </c:pt>
                <c:pt idx="135">
                  <c:v>61.23742091202337</c:v>
                </c:pt>
                <c:pt idx="136">
                  <c:v>61.55811298611936</c:v>
                </c:pt>
                <c:pt idx="137">
                  <c:v>61.83567755569138</c:v>
                </c:pt>
                <c:pt idx="138">
                  <c:v>62.07055140196532</c:v>
                </c:pt>
                <c:pt idx="139">
                  <c:v>62.26427956557421</c:v>
                </c:pt>
                <c:pt idx="140">
                  <c:v>62.41947284812093</c:v>
                </c:pt>
                <c:pt idx="141">
                  <c:v>62.53913885007866</c:v>
                </c:pt>
                <c:pt idx="142">
                  <c:v>62.6260504323714</c:v>
                </c:pt>
                <c:pt idx="143">
                  <c:v>62.68276403750956</c:v>
                </c:pt>
                <c:pt idx="144">
                  <c:v>62.71163658078329</c:v>
                </c:pt>
                <c:pt idx="145">
                  <c:v>62.71484102311859</c:v>
                </c:pt>
                <c:pt idx="146">
                  <c:v>62.69438072849112</c:v>
                </c:pt>
                <c:pt idx="147">
                  <c:v>62.65210270076142</c:v>
                </c:pt>
                <c:pt idx="148">
                  <c:v>62.5897097873911</c:v>
                </c:pt>
                <c:pt idx="149">
                  <c:v>62.50877193067407</c:v>
                </c:pt>
                <c:pt idx="150">
                  <c:v>62.41073654082277</c:v>
                </c:pt>
                <c:pt idx="151">
                  <c:v>62.29693805944766</c:v>
                </c:pt>
                <c:pt idx="152">
                  <c:v>62.1686067766189</c:v>
                </c:pt>
                <c:pt idx="153">
                  <c:v>62.02687695976702</c:v>
                </c:pt>
                <c:pt idx="154">
                  <c:v>61.87279434813285</c:v>
                </c:pt>
                <c:pt idx="155">
                  <c:v>61.70732306228476</c:v>
                </c:pt>
                <c:pt idx="156">
                  <c:v>61.53135197435653</c:v>
                </c:pt>
                <c:pt idx="157">
                  <c:v>61.34570058109585</c:v>
                </c:pt>
                <c:pt idx="158">
                  <c:v>61.1511244185287</c:v>
                </c:pt>
                <c:pt idx="159">
                  <c:v>60.94832005401557</c:v>
                </c:pt>
                <c:pt idx="160">
                  <c:v>60.73792968868395</c:v>
                </c:pt>
                <c:pt idx="161">
                  <c:v>60.5205454006465</c:v>
                </c:pt>
                <c:pt idx="162">
                  <c:v>60.29671305704124</c:v>
                </c:pt>
                <c:pt idx="163">
                  <c:v>60.06693592074176</c:v>
                </c:pt>
                <c:pt idx="164">
                  <c:v>59.83167797556811</c:v>
                </c:pt>
                <c:pt idx="165">
                  <c:v>59.59136699196897</c:v>
                </c:pt>
                <c:pt idx="166">
                  <c:v>59.34639735343123</c:v>
                </c:pt>
                <c:pt idx="167">
                  <c:v>59.09713266229156</c:v>
                </c:pt>
                <c:pt idx="168">
                  <c:v>58.84390814216766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'Aufgabe 6.7'!$N$11</c:f>
              <c:strCache>
                <c:ptCount val="1"/>
                <c:pt idx="0">
                  <c:v>δ= d+Δd-dsoll</c:v>
                </c:pt>
              </c:strCache>
            </c:strRef>
          </c:tx>
          <c:val>
            <c:numRef>
              <c:f>'Aufgabe 6.7'!$N$13:$N$181</c:f>
              <c:numCache>
                <c:formatCode>0.00</c:formatCode>
                <c:ptCount val="169"/>
                <c:pt idx="0">
                  <c:v>-0.0234146341463415</c:v>
                </c:pt>
                <c:pt idx="1">
                  <c:v>-0.0684164187983356</c:v>
                </c:pt>
                <c:pt idx="2">
                  <c:v>-0.133320503184805</c:v>
                </c:pt>
                <c:pt idx="3">
                  <c:v>-0.216573537082581</c:v>
                </c:pt>
                <c:pt idx="4">
                  <c:v>-0.316743407359063</c:v>
                </c:pt>
                <c:pt idx="5">
                  <c:v>-0.432509775565187</c:v>
                </c:pt>
                <c:pt idx="6">
                  <c:v>-0.562655354057661</c:v>
                </c:pt>
                <c:pt idx="7">
                  <c:v>-0.706057863009256</c:v>
                </c:pt>
                <c:pt idx="8">
                  <c:v>-0.861682615164639</c:v>
                </c:pt>
                <c:pt idx="9">
                  <c:v>-1.028575679346915</c:v>
                </c:pt>
                <c:pt idx="10">
                  <c:v>-1.205857577544229</c:v>
                </c:pt>
                <c:pt idx="11">
                  <c:v>-1.392717473931022</c:v>
                </c:pt>
                <c:pt idx="12">
                  <c:v>-1.588407817429093</c:v>
                </c:pt>
                <c:pt idx="13">
                  <c:v>-1.792239402410246</c:v>
                </c:pt>
                <c:pt idx="14">
                  <c:v>-2.00357681490506</c:v>
                </c:pt>
                <c:pt idx="15">
                  <c:v>-2.221834234229547</c:v>
                </c:pt>
                <c:pt idx="16">
                  <c:v>-2.446471562289688</c:v>
                </c:pt>
                <c:pt idx="17">
                  <c:v>-2.676990854989029</c:v>
                </c:pt>
                <c:pt idx="18">
                  <c:v>-2.912933032160623</c:v>
                </c:pt>
                <c:pt idx="19">
                  <c:v>-3.15387484428468</c:v>
                </c:pt>
                <c:pt idx="20">
                  <c:v>-3.399426075950274</c:v>
                </c:pt>
                <c:pt idx="21">
                  <c:v>-3.649226967583424</c:v>
                </c:pt>
                <c:pt idx="22">
                  <c:v>-3.90294583840619</c:v>
                </c:pt>
                <c:pt idx="23">
                  <c:v>-4.160276894920834</c:v>
                </c:pt>
                <c:pt idx="24">
                  <c:v>-4.420938210439218</c:v>
                </c:pt>
                <c:pt idx="25">
                  <c:v>-4.68466986230738</c:v>
                </c:pt>
                <c:pt idx="26">
                  <c:v>-4.951232214517545</c:v>
                </c:pt>
                <c:pt idx="27">
                  <c:v>-5.220404334360083</c:v>
                </c:pt>
                <c:pt idx="28">
                  <c:v>-5.491982532653942</c:v>
                </c:pt>
                <c:pt idx="29">
                  <c:v>-5.765779017910226</c:v>
                </c:pt>
                <c:pt idx="30">
                  <c:v>-6.041620655536754</c:v>
                </c:pt>
                <c:pt idx="31">
                  <c:v>-6.317374552313389</c:v>
                </c:pt>
                <c:pt idx="32">
                  <c:v>-6.588954789324645</c:v>
                </c:pt>
                <c:pt idx="33">
                  <c:v>-6.852310265646949</c:v>
                </c:pt>
                <c:pt idx="34">
                  <c:v>-7.103439254274086</c:v>
                </c:pt>
                <c:pt idx="35">
                  <c:v>-7.338403874945911</c:v>
                </c:pt>
                <c:pt idx="36">
                  <c:v>-7.553344418039977</c:v>
                </c:pt>
                <c:pt idx="37">
                  <c:v>-7.74449345495428</c:v>
                </c:pt>
                <c:pt idx="38">
                  <c:v>-7.908189671879725</c:v>
                </c:pt>
                <c:pt idx="39">
                  <c:v>-8.04089136553111</c:v>
                </c:pt>
                <c:pt idx="40">
                  <c:v>-8.139189541273033</c:v>
                </c:pt>
                <c:pt idx="41">
                  <c:v>-8.199820556138377</c:v>
                </c:pt>
                <c:pt idx="42">
                  <c:v>-8.219678251486257</c:v>
                </c:pt>
                <c:pt idx="43">
                  <c:v>-8.195825522478863</c:v>
                </c:pt>
                <c:pt idx="44">
                  <c:v>-8.125505274164524</c:v>
                </c:pt>
                <c:pt idx="45">
                  <c:v>-8.006150716730601</c:v>
                </c:pt>
                <c:pt idx="46">
                  <c:v>-7.835394955425258</c:v>
                </c:pt>
                <c:pt idx="47">
                  <c:v>-7.611079833733121</c:v>
                </c:pt>
                <c:pt idx="48">
                  <c:v>-7.33126399161508</c:v>
                </c:pt>
                <c:pt idx="49">
                  <c:v>-6.99423010397728</c:v>
                </c:pt>
                <c:pt idx="50">
                  <c:v>-6.598491268006136</c:v>
                </c:pt>
                <c:pt idx="51">
                  <c:v>-6.142796511583619</c:v>
                </c:pt>
                <c:pt idx="52">
                  <c:v>-5.62613539866684</c:v>
                </c:pt>
                <c:pt idx="53">
                  <c:v>-5.047741711265424</c:v>
                </c:pt>
                <c:pt idx="54">
                  <c:v>-4.407096191465363</c:v>
                </c:pt>
                <c:pt idx="55">
                  <c:v>-3.703928330815358</c:v>
                </c:pt>
                <c:pt idx="56">
                  <c:v>-2.938217198296527</c:v>
                </c:pt>
                <c:pt idx="57">
                  <c:v>-2.110191302024816</c:v>
                </c:pt>
                <c:pt idx="58">
                  <c:v>-1.220327483772259</c:v>
                </c:pt>
                <c:pt idx="59">
                  <c:v>-0.269348849324324</c:v>
                </c:pt>
                <c:pt idx="60">
                  <c:v>0.741778258399407</c:v>
                </c:pt>
                <c:pt idx="61">
                  <c:v>1.811848232659315</c:v>
                </c:pt>
                <c:pt idx="62">
                  <c:v>2.939421108018131</c:v>
                </c:pt>
                <c:pt idx="63">
                  <c:v>4.122828378885785</c:v>
                </c:pt>
                <c:pt idx="64">
                  <c:v>5.360179709419718</c:v>
                </c:pt>
                <c:pt idx="65">
                  <c:v>6.649370509126257</c:v>
                </c:pt>
                <c:pt idx="66">
                  <c:v>7.988090345027423</c:v>
                </c:pt>
                <c:pt idx="67">
                  <c:v>9.373832157896686</c:v>
                </c:pt>
                <c:pt idx="68">
                  <c:v>10.80390224683893</c:v>
                </c:pt>
                <c:pt idx="69">
                  <c:v>12.2754309834071</c:v>
                </c:pt>
                <c:pt idx="70">
                  <c:v>13.78538421352232</c:v>
                </c:pt>
                <c:pt idx="71">
                  <c:v>13.48624737720482</c:v>
                </c:pt>
                <c:pt idx="72">
                  <c:v>13.18704317201454</c:v>
                </c:pt>
                <c:pt idx="73">
                  <c:v>12.88777685600985</c:v>
                </c:pt>
                <c:pt idx="74">
                  <c:v>12.58845327686406</c:v>
                </c:pt>
                <c:pt idx="75">
                  <c:v>12.2890769038955</c:v>
                </c:pt>
                <c:pt idx="76">
                  <c:v>11.98965185759766</c:v>
                </c:pt>
                <c:pt idx="77">
                  <c:v>11.69018193686452</c:v>
                </c:pt>
                <c:pt idx="78">
                  <c:v>11.39067064409105</c:v>
                </c:pt>
                <c:pt idx="79">
                  <c:v>11.09112120831453</c:v>
                </c:pt>
                <c:pt idx="80">
                  <c:v>10.79153660654983</c:v>
                </c:pt>
                <c:pt idx="81">
                  <c:v>10.49191958345946</c:v>
                </c:pt>
                <c:pt idx="82">
                  <c:v>10.19227266948833</c:v>
                </c:pt>
                <c:pt idx="83">
                  <c:v>9.89259819758324</c:v>
                </c:pt>
                <c:pt idx="84">
                  <c:v>9.592898318607325</c:v>
                </c:pt>
                <c:pt idx="85">
                  <c:v>9.293175015551483</c:v>
                </c:pt>
                <c:pt idx="86">
                  <c:v>8.993430116636588</c:v>
                </c:pt>
                <c:pt idx="87">
                  <c:v>8.693665307393097</c:v>
                </c:pt>
                <c:pt idx="88">
                  <c:v>8.393882141797881</c:v>
                </c:pt>
                <c:pt idx="89">
                  <c:v>8.0940820525418</c:v>
                </c:pt>
                <c:pt idx="90">
                  <c:v>7.794266360495953</c:v>
                </c:pt>
                <c:pt idx="91">
                  <c:v>7.494436283439043</c:v>
                </c:pt>
                <c:pt idx="92">
                  <c:v>7.194592944103654</c:v>
                </c:pt>
                <c:pt idx="93">
                  <c:v>6.894737377594438</c:v>
                </c:pt>
                <c:pt idx="94">
                  <c:v>6.594870538227411</c:v>
                </c:pt>
                <c:pt idx="95">
                  <c:v>6.294993305835362</c:v>
                </c:pt>
                <c:pt idx="96">
                  <c:v>5.99510649158124</c:v>
                </c:pt>
                <c:pt idx="97">
                  <c:v>5.695210843317675</c:v>
                </c:pt>
                <c:pt idx="98">
                  <c:v>5.395307050528338</c:v>
                </c:pt>
                <c:pt idx="99">
                  <c:v>5.09539574888354</c:v>
                </c:pt>
                <c:pt idx="100">
                  <c:v>4.795477524440287</c:v>
                </c:pt>
                <c:pt idx="101">
                  <c:v>4.49615348626601</c:v>
                </c:pt>
                <c:pt idx="102">
                  <c:v>4.199164177105573</c:v>
                </c:pt>
                <c:pt idx="103">
                  <c:v>3.90725664211432</c:v>
                </c:pt>
                <c:pt idx="104">
                  <c:v>3.624033744274826</c:v>
                </c:pt>
                <c:pt idx="105">
                  <c:v>3.353788888160047</c:v>
                </c:pt>
                <c:pt idx="106">
                  <c:v>3.101329715825322</c:v>
                </c:pt>
                <c:pt idx="107">
                  <c:v>2.871794649636747</c:v>
                </c:pt>
                <c:pt idx="108">
                  <c:v>2.670466369376307</c:v>
                </c:pt>
                <c:pt idx="109">
                  <c:v>2.502586420012278</c:v>
                </c:pt>
                <c:pt idx="110">
                  <c:v>2.373175149623009</c:v>
                </c:pt>
                <c:pt idx="111">
                  <c:v>2.286861074241685</c:v>
                </c:pt>
                <c:pt idx="112">
                  <c:v>2.247723560566953</c:v>
                </c:pt>
                <c:pt idx="113">
                  <c:v>2.259152413800471</c:v>
                </c:pt>
                <c:pt idx="114">
                  <c:v>2.323727563966621</c:v>
                </c:pt>
                <c:pt idx="115">
                  <c:v>2.44312156978743</c:v>
                </c:pt>
                <c:pt idx="116">
                  <c:v>2.618027116342958</c:v>
                </c:pt>
                <c:pt idx="117">
                  <c:v>2.848111084835047</c:v>
                </c:pt>
                <c:pt idx="118">
                  <c:v>3.131996134629958</c:v>
                </c:pt>
                <c:pt idx="119">
                  <c:v>3.467270075201611</c:v>
                </c:pt>
                <c:pt idx="120">
                  <c:v>3.850522635045728</c:v>
                </c:pt>
                <c:pt idx="121">
                  <c:v>4.27740857268713</c:v>
                </c:pt>
                <c:pt idx="122">
                  <c:v>4.742735437941654</c:v>
                </c:pt>
                <c:pt idx="123">
                  <c:v>5.240573695380625</c:v>
                </c:pt>
                <c:pt idx="124">
                  <c:v>5.764386381232889</c:v>
                </c:pt>
                <c:pt idx="125">
                  <c:v>6.307174993125301</c:v>
                </c:pt>
                <c:pt idx="126">
                  <c:v>6.861637920786713</c:v>
                </c:pt>
                <c:pt idx="127">
                  <c:v>7.42033742481307</c:v>
                </c:pt>
                <c:pt idx="128">
                  <c:v>7.975870967275164</c:v>
                </c:pt>
                <c:pt idx="129">
                  <c:v>8.521042597400722</c:v>
                </c:pt>
                <c:pt idx="130">
                  <c:v>9.049030100296967</c:v>
                </c:pt>
                <c:pt idx="131">
                  <c:v>9.553543726623736</c:v>
                </c:pt>
                <c:pt idx="132">
                  <c:v>10.02897253360915</c:v>
                </c:pt>
                <c:pt idx="133">
                  <c:v>10.47051467762304</c:v>
                </c:pt>
                <c:pt idx="134">
                  <c:v>10.87428839808987</c:v>
                </c:pt>
                <c:pt idx="135">
                  <c:v>11.23742091202337</c:v>
                </c:pt>
                <c:pt idx="136">
                  <c:v>11.55811298611937</c:v>
                </c:pt>
                <c:pt idx="137">
                  <c:v>11.83567755569138</c:v>
                </c:pt>
                <c:pt idx="138">
                  <c:v>12.07055140196532</c:v>
                </c:pt>
                <c:pt idx="139">
                  <c:v>12.26427956557421</c:v>
                </c:pt>
                <c:pt idx="140">
                  <c:v>12.41947284812094</c:v>
                </c:pt>
                <c:pt idx="141">
                  <c:v>12.53913885007866</c:v>
                </c:pt>
                <c:pt idx="142">
                  <c:v>12.62605043237139</c:v>
                </c:pt>
                <c:pt idx="143">
                  <c:v>12.68276403750956</c:v>
                </c:pt>
                <c:pt idx="144">
                  <c:v>12.7116365807833</c:v>
                </c:pt>
                <c:pt idx="145">
                  <c:v>12.71484102311859</c:v>
                </c:pt>
                <c:pt idx="146">
                  <c:v>12.69438072849113</c:v>
                </c:pt>
                <c:pt idx="147">
                  <c:v>12.65210270076142</c:v>
                </c:pt>
                <c:pt idx="148">
                  <c:v>12.5897097873911</c:v>
                </c:pt>
                <c:pt idx="149">
                  <c:v>12.50877193067407</c:v>
                </c:pt>
                <c:pt idx="150">
                  <c:v>12.41073654082277</c:v>
                </c:pt>
                <c:pt idx="151">
                  <c:v>12.29693805944766</c:v>
                </c:pt>
                <c:pt idx="152">
                  <c:v>12.1686067766189</c:v>
                </c:pt>
                <c:pt idx="153">
                  <c:v>12.02687695976702</c:v>
                </c:pt>
                <c:pt idx="154">
                  <c:v>11.87279434813286</c:v>
                </c:pt>
                <c:pt idx="155">
                  <c:v>11.70732306228476</c:v>
                </c:pt>
                <c:pt idx="156">
                  <c:v>11.53135197435653</c:v>
                </c:pt>
                <c:pt idx="157">
                  <c:v>11.34570058109585</c:v>
                </c:pt>
                <c:pt idx="158">
                  <c:v>11.1511244185287</c:v>
                </c:pt>
                <c:pt idx="159">
                  <c:v>10.94832005401557</c:v>
                </c:pt>
                <c:pt idx="160">
                  <c:v>10.73792968868395</c:v>
                </c:pt>
                <c:pt idx="161">
                  <c:v>10.5205454006465</c:v>
                </c:pt>
                <c:pt idx="162">
                  <c:v>10.29671305704125</c:v>
                </c:pt>
                <c:pt idx="163">
                  <c:v>10.06693592074177</c:v>
                </c:pt>
                <c:pt idx="164">
                  <c:v>9.831677975568105</c:v>
                </c:pt>
                <c:pt idx="165">
                  <c:v>9.591366991968968</c:v>
                </c:pt>
                <c:pt idx="166">
                  <c:v>9.346397353431228</c:v>
                </c:pt>
                <c:pt idx="167">
                  <c:v>9.097132662291557</c:v>
                </c:pt>
                <c:pt idx="168">
                  <c:v>8.843908142167663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659160"/>
        <c:axId val="2082504424"/>
      </c:lineChart>
      <c:catAx>
        <c:axId val="2072659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504424"/>
        <c:crosses val="autoZero"/>
        <c:auto val="1"/>
        <c:lblAlgn val="ctr"/>
        <c:lblOffset val="100"/>
        <c:noMultiLvlLbl val="0"/>
      </c:catAx>
      <c:valAx>
        <c:axId val="20825044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265916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19151833538102"/>
          <c:y val="0.0601851851851852"/>
          <c:w val="0.786135195821506"/>
          <c:h val="0.822469378827647"/>
        </c:manualLayout>
      </c:layout>
      <c:lineChart>
        <c:grouping val="standard"/>
        <c:varyColors val="0"/>
        <c:ser>
          <c:idx val="2"/>
          <c:order val="0"/>
          <c:tx>
            <c:strRef>
              <c:f>'Aufgabe 6.7'!$G$11</c:f>
              <c:strCache>
                <c:ptCount val="1"/>
                <c:pt idx="0">
                  <c:v> v2(K)</c:v>
                </c:pt>
              </c:strCache>
            </c:strRef>
          </c:tx>
          <c:val>
            <c:numRef>
              <c:f>'Aufgabe 6.7'!$G$12:$G$181</c:f>
              <c:numCache>
                <c:formatCode>0.00</c:formatCode>
                <c:ptCount val="170"/>
                <c:pt idx="0">
                  <c:v>22.0</c:v>
                </c:pt>
                <c:pt idx="1">
                  <c:v>22.0</c:v>
                </c:pt>
                <c:pt idx="2">
                  <c:v>22.0</c:v>
                </c:pt>
                <c:pt idx="3">
                  <c:v>22.0</c:v>
                </c:pt>
                <c:pt idx="4">
                  <c:v>22.0</c:v>
                </c:pt>
                <c:pt idx="5">
                  <c:v>22.0</c:v>
                </c:pt>
                <c:pt idx="6">
                  <c:v>22.0</c:v>
                </c:pt>
                <c:pt idx="7">
                  <c:v>22.0</c:v>
                </c:pt>
                <c:pt idx="8">
                  <c:v>22.0</c:v>
                </c:pt>
                <c:pt idx="9">
                  <c:v>22.0</c:v>
                </c:pt>
                <c:pt idx="10">
                  <c:v>22.0</c:v>
                </c:pt>
                <c:pt idx="11">
                  <c:v>22.0</c:v>
                </c:pt>
                <c:pt idx="12">
                  <c:v>22.0</c:v>
                </c:pt>
                <c:pt idx="13">
                  <c:v>22.0</c:v>
                </c:pt>
                <c:pt idx="14">
                  <c:v>22.0</c:v>
                </c:pt>
                <c:pt idx="15">
                  <c:v>22.0</c:v>
                </c:pt>
                <c:pt idx="16">
                  <c:v>22.0</c:v>
                </c:pt>
                <c:pt idx="17">
                  <c:v>22.0</c:v>
                </c:pt>
                <c:pt idx="18">
                  <c:v>22.0</c:v>
                </c:pt>
                <c:pt idx="19">
                  <c:v>22.0</c:v>
                </c:pt>
                <c:pt idx="20">
                  <c:v>22.0</c:v>
                </c:pt>
                <c:pt idx="21">
                  <c:v>22.0</c:v>
                </c:pt>
                <c:pt idx="22">
                  <c:v>22.0</c:v>
                </c:pt>
                <c:pt idx="23">
                  <c:v>22.0</c:v>
                </c:pt>
                <c:pt idx="24">
                  <c:v>22.0</c:v>
                </c:pt>
                <c:pt idx="25">
                  <c:v>22.0</c:v>
                </c:pt>
                <c:pt idx="26">
                  <c:v>22.0</c:v>
                </c:pt>
                <c:pt idx="27">
                  <c:v>22.0</c:v>
                </c:pt>
                <c:pt idx="28">
                  <c:v>22.0</c:v>
                </c:pt>
                <c:pt idx="29">
                  <c:v>22.0</c:v>
                </c:pt>
                <c:pt idx="30">
                  <c:v>22.0</c:v>
                </c:pt>
                <c:pt idx="31">
                  <c:v>22.0</c:v>
                </c:pt>
                <c:pt idx="32">
                  <c:v>22.01973271571729</c:v>
                </c:pt>
                <c:pt idx="33">
                  <c:v>22.07885298685522</c:v>
                </c:pt>
                <c:pt idx="34">
                  <c:v>22.17712749271311</c:v>
                </c:pt>
                <c:pt idx="35">
                  <c:v>22.31416838871369</c:v>
                </c:pt>
                <c:pt idx="36">
                  <c:v>22.48943483704846</c:v>
                </c:pt>
                <c:pt idx="37">
                  <c:v>22.70223514111749</c:v>
                </c:pt>
                <c:pt idx="38">
                  <c:v>22.9517294753398</c:v>
                </c:pt>
                <c:pt idx="39">
                  <c:v>23.23693319956136</c:v>
                </c:pt>
                <c:pt idx="40">
                  <c:v>23.55672074497985</c:v>
                </c:pt>
                <c:pt idx="41">
                  <c:v>23.90983005625053</c:v>
                </c:pt>
                <c:pt idx="42">
                  <c:v>24.29486757224211</c:v>
                </c:pt>
                <c:pt idx="43">
                  <c:v>24.71031372578588</c:v>
                </c:pt>
                <c:pt idx="44">
                  <c:v>25.15452894071311</c:v>
                </c:pt>
                <c:pt idx="45">
                  <c:v>25.6257601025131</c:v>
                </c:pt>
                <c:pt idx="46">
                  <c:v>26.12214747707527</c:v>
                </c:pt>
                <c:pt idx="47">
                  <c:v>26.64173205021003</c:v>
                </c:pt>
                <c:pt idx="48">
                  <c:v>27.18246325898285</c:v>
                </c:pt>
                <c:pt idx="49">
                  <c:v>27.74220708434927</c:v>
                </c:pt>
                <c:pt idx="50">
                  <c:v>28.31875447315322</c:v>
                </c:pt>
                <c:pt idx="51">
                  <c:v>28.90983005625053</c:v>
                </c:pt>
                <c:pt idx="52">
                  <c:v>29.51310112835145</c:v>
                </c:pt>
                <c:pt idx="53">
                  <c:v>30.12618685414276</c:v>
                </c:pt>
                <c:pt idx="54">
                  <c:v>30.74666766435696</c:v>
                </c:pt>
                <c:pt idx="55">
                  <c:v>31.37209480470687</c:v>
                </c:pt>
                <c:pt idx="56">
                  <c:v>32.0</c:v>
                </c:pt>
                <c:pt idx="57">
                  <c:v>32.62790519529314</c:v>
                </c:pt>
                <c:pt idx="58">
                  <c:v>33.25333233564304</c:v>
                </c:pt>
                <c:pt idx="59">
                  <c:v>33.87381314585725</c:v>
                </c:pt>
                <c:pt idx="60">
                  <c:v>34.48689887164855</c:v>
                </c:pt>
                <c:pt idx="61">
                  <c:v>35.09016994374947</c:v>
                </c:pt>
                <c:pt idx="62">
                  <c:v>35.68124552684678</c:v>
                </c:pt>
                <c:pt idx="63">
                  <c:v>36.25779291565072</c:v>
                </c:pt>
                <c:pt idx="64">
                  <c:v>36.81753674101715</c:v>
                </c:pt>
                <c:pt idx="65">
                  <c:v>37.35826794978997</c:v>
                </c:pt>
                <c:pt idx="66">
                  <c:v>37.87785252292472</c:v>
                </c:pt>
                <c:pt idx="67">
                  <c:v>38.3742398974869</c:v>
                </c:pt>
                <c:pt idx="68">
                  <c:v>38.84547105928689</c:v>
                </c:pt>
                <c:pt idx="69">
                  <c:v>39.28968627421412</c:v>
                </c:pt>
                <c:pt idx="70">
                  <c:v>39.7051324277579</c:v>
                </c:pt>
                <c:pt idx="71">
                  <c:v>40.09016994374947</c:v>
                </c:pt>
                <c:pt idx="72">
                  <c:v>22.0</c:v>
                </c:pt>
                <c:pt idx="73">
                  <c:v>22.0</c:v>
                </c:pt>
                <c:pt idx="74">
                  <c:v>22.0</c:v>
                </c:pt>
                <c:pt idx="75">
                  <c:v>22.0</c:v>
                </c:pt>
                <c:pt idx="76">
                  <c:v>22.0</c:v>
                </c:pt>
                <c:pt idx="77">
                  <c:v>22.0</c:v>
                </c:pt>
                <c:pt idx="78">
                  <c:v>22.0</c:v>
                </c:pt>
                <c:pt idx="79">
                  <c:v>22.0</c:v>
                </c:pt>
                <c:pt idx="80">
                  <c:v>22.0</c:v>
                </c:pt>
                <c:pt idx="81">
                  <c:v>22.0</c:v>
                </c:pt>
                <c:pt idx="82">
                  <c:v>22.0</c:v>
                </c:pt>
                <c:pt idx="83">
                  <c:v>22.0</c:v>
                </c:pt>
                <c:pt idx="84">
                  <c:v>22.0</c:v>
                </c:pt>
                <c:pt idx="85">
                  <c:v>22.0</c:v>
                </c:pt>
                <c:pt idx="86">
                  <c:v>22.0</c:v>
                </c:pt>
                <c:pt idx="87">
                  <c:v>22.0</c:v>
                </c:pt>
                <c:pt idx="88">
                  <c:v>22.0</c:v>
                </c:pt>
                <c:pt idx="89">
                  <c:v>22.0</c:v>
                </c:pt>
                <c:pt idx="90">
                  <c:v>22.0</c:v>
                </c:pt>
                <c:pt idx="91">
                  <c:v>22.0</c:v>
                </c:pt>
                <c:pt idx="92">
                  <c:v>22.0</c:v>
                </c:pt>
                <c:pt idx="93">
                  <c:v>22.0</c:v>
                </c:pt>
                <c:pt idx="94">
                  <c:v>22.0</c:v>
                </c:pt>
                <c:pt idx="95">
                  <c:v>22.0</c:v>
                </c:pt>
                <c:pt idx="96">
                  <c:v>22.0</c:v>
                </c:pt>
                <c:pt idx="97">
                  <c:v>22.0</c:v>
                </c:pt>
                <c:pt idx="98">
                  <c:v>22.0</c:v>
                </c:pt>
                <c:pt idx="99">
                  <c:v>22.0</c:v>
                </c:pt>
                <c:pt idx="100">
                  <c:v>22.0</c:v>
                </c:pt>
                <c:pt idx="101">
                  <c:v>22.0</c:v>
                </c:pt>
                <c:pt idx="102">
                  <c:v>22.0</c:v>
                </c:pt>
                <c:pt idx="103">
                  <c:v>22.0</c:v>
                </c:pt>
                <c:pt idx="104">
                  <c:v>22.0</c:v>
                </c:pt>
                <c:pt idx="105">
                  <c:v>22.0</c:v>
                </c:pt>
                <c:pt idx="106">
                  <c:v>22.0</c:v>
                </c:pt>
                <c:pt idx="107">
                  <c:v>22.0</c:v>
                </c:pt>
                <c:pt idx="108">
                  <c:v>22.0</c:v>
                </c:pt>
                <c:pt idx="109">
                  <c:v>22.0</c:v>
                </c:pt>
                <c:pt idx="110">
                  <c:v>22.0</c:v>
                </c:pt>
                <c:pt idx="111">
                  <c:v>22.0</c:v>
                </c:pt>
                <c:pt idx="112">
                  <c:v>22.0</c:v>
                </c:pt>
                <c:pt idx="113">
                  <c:v>22.0</c:v>
                </c:pt>
                <c:pt idx="114">
                  <c:v>22.0</c:v>
                </c:pt>
                <c:pt idx="115">
                  <c:v>22.0</c:v>
                </c:pt>
                <c:pt idx="116">
                  <c:v>22.0</c:v>
                </c:pt>
                <c:pt idx="117">
                  <c:v>22.0</c:v>
                </c:pt>
                <c:pt idx="118">
                  <c:v>22.0</c:v>
                </c:pt>
                <c:pt idx="119">
                  <c:v>22.0</c:v>
                </c:pt>
                <c:pt idx="120">
                  <c:v>22.0</c:v>
                </c:pt>
                <c:pt idx="121">
                  <c:v>22.0</c:v>
                </c:pt>
                <c:pt idx="122">
                  <c:v>22.0</c:v>
                </c:pt>
                <c:pt idx="123">
                  <c:v>22.0</c:v>
                </c:pt>
                <c:pt idx="124">
                  <c:v>22.0</c:v>
                </c:pt>
                <c:pt idx="125">
                  <c:v>22.0</c:v>
                </c:pt>
                <c:pt idx="126">
                  <c:v>22.0</c:v>
                </c:pt>
                <c:pt idx="127">
                  <c:v>22.0</c:v>
                </c:pt>
                <c:pt idx="128">
                  <c:v>22.0</c:v>
                </c:pt>
                <c:pt idx="129">
                  <c:v>22.0</c:v>
                </c:pt>
                <c:pt idx="130">
                  <c:v>22.0</c:v>
                </c:pt>
                <c:pt idx="131">
                  <c:v>22.0</c:v>
                </c:pt>
                <c:pt idx="132">
                  <c:v>22.0</c:v>
                </c:pt>
                <c:pt idx="133">
                  <c:v>22.0</c:v>
                </c:pt>
                <c:pt idx="134">
                  <c:v>22.0</c:v>
                </c:pt>
                <c:pt idx="135">
                  <c:v>22.0</c:v>
                </c:pt>
                <c:pt idx="136">
                  <c:v>22.0</c:v>
                </c:pt>
                <c:pt idx="137">
                  <c:v>22.0</c:v>
                </c:pt>
                <c:pt idx="138">
                  <c:v>22.0</c:v>
                </c:pt>
                <c:pt idx="139">
                  <c:v>22.0</c:v>
                </c:pt>
                <c:pt idx="140">
                  <c:v>22.0</c:v>
                </c:pt>
                <c:pt idx="141">
                  <c:v>22.0</c:v>
                </c:pt>
                <c:pt idx="142">
                  <c:v>22.0</c:v>
                </c:pt>
                <c:pt idx="143">
                  <c:v>22.0</c:v>
                </c:pt>
                <c:pt idx="144">
                  <c:v>22.0</c:v>
                </c:pt>
                <c:pt idx="145">
                  <c:v>22.0</c:v>
                </c:pt>
                <c:pt idx="146">
                  <c:v>22.0</c:v>
                </c:pt>
                <c:pt idx="147">
                  <c:v>22.0</c:v>
                </c:pt>
                <c:pt idx="148">
                  <c:v>22.0</c:v>
                </c:pt>
                <c:pt idx="149">
                  <c:v>22.0</c:v>
                </c:pt>
                <c:pt idx="150">
                  <c:v>22.0</c:v>
                </c:pt>
                <c:pt idx="151">
                  <c:v>22.0</c:v>
                </c:pt>
                <c:pt idx="152">
                  <c:v>22.0</c:v>
                </c:pt>
                <c:pt idx="153">
                  <c:v>22.0</c:v>
                </c:pt>
                <c:pt idx="154">
                  <c:v>22.0</c:v>
                </c:pt>
                <c:pt idx="155">
                  <c:v>22.0</c:v>
                </c:pt>
                <c:pt idx="156">
                  <c:v>22.0</c:v>
                </c:pt>
                <c:pt idx="157">
                  <c:v>22.0</c:v>
                </c:pt>
                <c:pt idx="158">
                  <c:v>22.0</c:v>
                </c:pt>
                <c:pt idx="159">
                  <c:v>22.0</c:v>
                </c:pt>
                <c:pt idx="160">
                  <c:v>22.0</c:v>
                </c:pt>
                <c:pt idx="161">
                  <c:v>22.0</c:v>
                </c:pt>
                <c:pt idx="162">
                  <c:v>22.0</c:v>
                </c:pt>
                <c:pt idx="163">
                  <c:v>22.0</c:v>
                </c:pt>
                <c:pt idx="164">
                  <c:v>22.0</c:v>
                </c:pt>
                <c:pt idx="165">
                  <c:v>22.0</c:v>
                </c:pt>
                <c:pt idx="166">
                  <c:v>22.0</c:v>
                </c:pt>
                <c:pt idx="167">
                  <c:v>22.0</c:v>
                </c:pt>
                <c:pt idx="168">
                  <c:v>22.0</c:v>
                </c:pt>
                <c:pt idx="169">
                  <c:v>22.0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'Aufgabe 6.7'!$F$11</c:f>
              <c:strCache>
                <c:ptCount val="1"/>
                <c:pt idx="0">
                  <c:v> v1(k)</c:v>
                </c:pt>
              </c:strCache>
            </c:strRef>
          </c:tx>
          <c:val>
            <c:numRef>
              <c:f>'Aufgabe 6.7'!$F$13:$F$181</c:f>
              <c:numCache>
                <c:formatCode>0.00</c:formatCode>
                <c:ptCount val="169"/>
                <c:pt idx="0">
                  <c:v>22.23414634146341</c:v>
                </c:pt>
                <c:pt idx="1">
                  <c:v>22.45001784651993</c:v>
                </c:pt>
                <c:pt idx="2">
                  <c:v>22.64904084386472</c:v>
                </c:pt>
                <c:pt idx="3">
                  <c:v>22.83253033897772</c:v>
                </c:pt>
                <c:pt idx="4">
                  <c:v>23.00169870276483</c:v>
                </c:pt>
                <c:pt idx="5">
                  <c:v>23.15766368206123</c:v>
                </c:pt>
                <c:pt idx="6">
                  <c:v>23.30145578492475</c:v>
                </c:pt>
                <c:pt idx="7">
                  <c:v>23.43402508951599</c:v>
                </c:pt>
                <c:pt idx="8">
                  <c:v>23.55624752155378</c:v>
                </c:pt>
                <c:pt idx="9">
                  <c:v>23.66893064182275</c:v>
                </c:pt>
                <c:pt idx="10">
                  <c:v>23.77281898197317</c:v>
                </c:pt>
                <c:pt idx="11">
                  <c:v>23.86859896386795</c:v>
                </c:pt>
                <c:pt idx="12">
                  <c:v>23.9569034349807</c:v>
                </c:pt>
                <c:pt idx="13">
                  <c:v>24.03831584981148</c:v>
                </c:pt>
                <c:pt idx="14">
                  <c:v>24.11337412494815</c:v>
                </c:pt>
                <c:pt idx="15">
                  <c:v>24.18257419324488</c:v>
                </c:pt>
                <c:pt idx="16">
                  <c:v>24.24637328060138</c:v>
                </c:pt>
                <c:pt idx="17">
                  <c:v>24.30519292699347</c:v>
                </c:pt>
                <c:pt idx="18">
                  <c:v>24.35942177171593</c:v>
                </c:pt>
                <c:pt idx="19">
                  <c:v>24.40941812124055</c:v>
                </c:pt>
                <c:pt idx="20">
                  <c:v>24.45551231665592</c:v>
                </c:pt>
                <c:pt idx="21">
                  <c:v>24.49800891633156</c:v>
                </c:pt>
                <c:pt idx="22">
                  <c:v>24.53718870822763</c:v>
                </c:pt>
                <c:pt idx="23">
                  <c:v>24.57331056514645</c:v>
                </c:pt>
                <c:pt idx="24">
                  <c:v>24.60661315518381</c:v>
                </c:pt>
                <c:pt idx="25">
                  <c:v>24.63731651868166</c:v>
                </c:pt>
                <c:pt idx="26">
                  <c:v>24.66562352210163</c:v>
                </c:pt>
                <c:pt idx="27">
                  <c:v>24.69172119842541</c:v>
                </c:pt>
                <c:pt idx="28">
                  <c:v>24.71578198293855</c:v>
                </c:pt>
                <c:pt idx="29">
                  <c:v>24.73796485256286</c:v>
                </c:pt>
                <c:pt idx="30">
                  <c:v>24.75841637626528</c:v>
                </c:pt>
                <c:pt idx="31">
                  <c:v>24.7772716834836</c:v>
                </c:pt>
                <c:pt idx="32">
                  <c:v>24.79465535696781</c:v>
                </c:pt>
                <c:pt idx="33">
                  <c:v>24.81068225593618</c:v>
                </c:pt>
                <c:pt idx="34">
                  <c:v>24.82545827498506</c:v>
                </c:pt>
                <c:pt idx="35">
                  <c:v>24.83908104376671</c:v>
                </c:pt>
                <c:pt idx="36">
                  <c:v>24.85164057205809</c:v>
                </c:pt>
                <c:pt idx="37">
                  <c:v>24.86321984448283</c:v>
                </c:pt>
                <c:pt idx="38">
                  <c:v>24.87389536881588</c:v>
                </c:pt>
                <c:pt idx="39">
                  <c:v>24.88373768149367</c:v>
                </c:pt>
                <c:pt idx="40">
                  <c:v>24.89281181366977</c:v>
                </c:pt>
                <c:pt idx="41">
                  <c:v>24.90117772089555</c:v>
                </c:pt>
                <c:pt idx="42">
                  <c:v>24.90889067926468</c:v>
                </c:pt>
                <c:pt idx="43">
                  <c:v>24.91600165063915</c:v>
                </c:pt>
                <c:pt idx="44">
                  <c:v>24.92255761936975</c:v>
                </c:pt>
                <c:pt idx="45">
                  <c:v>24.92860190273602</c:v>
                </c:pt>
                <c:pt idx="46">
                  <c:v>24.93417443715662</c:v>
                </c:pt>
                <c:pt idx="47">
                  <c:v>24.93931204206147</c:v>
                </c:pt>
                <c:pt idx="48">
                  <c:v>24.94404866316887</c:v>
                </c:pt>
                <c:pt idx="49">
                  <c:v>24.94841559677521</c:v>
                </c:pt>
                <c:pt idx="50">
                  <c:v>24.95244169653909</c:v>
                </c:pt>
                <c:pt idx="51">
                  <c:v>24.95615356412629</c:v>
                </c:pt>
                <c:pt idx="52">
                  <c:v>24.95957572497497</c:v>
                </c:pt>
                <c:pt idx="53">
                  <c:v>24.96273079034278</c:v>
                </c:pt>
                <c:pt idx="54">
                  <c:v>24.96563960670628</c:v>
                </c:pt>
                <c:pt idx="55">
                  <c:v>24.96832139349993</c:v>
                </c:pt>
                <c:pt idx="56">
                  <c:v>24.97079387010482</c:v>
                </c:pt>
                <c:pt idx="57">
                  <c:v>24.97307337292591</c:v>
                </c:pt>
                <c:pt idx="58">
                  <c:v>24.9751749633317</c:v>
                </c:pt>
                <c:pt idx="59">
                  <c:v>24.97711252716923</c:v>
                </c:pt>
                <c:pt idx="60">
                  <c:v>24.97889886651211</c:v>
                </c:pt>
                <c:pt idx="61">
                  <c:v>24.98054578424776</c:v>
                </c:pt>
                <c:pt idx="62">
                  <c:v>24.98206416206257</c:v>
                </c:pt>
                <c:pt idx="63">
                  <c:v>24.98346403234061</c:v>
                </c:pt>
                <c:pt idx="64">
                  <c:v>24.98475464445062</c:v>
                </c:pt>
                <c:pt idx="65">
                  <c:v>24.98594452585935</c:v>
                </c:pt>
                <c:pt idx="66">
                  <c:v>24.98704153847521</c:v>
                </c:pt>
                <c:pt idx="67">
                  <c:v>24.98805293059422</c:v>
                </c:pt>
                <c:pt idx="68">
                  <c:v>24.98898538479174</c:v>
                </c:pt>
                <c:pt idx="69">
                  <c:v>24.98984506207629</c:v>
                </c:pt>
                <c:pt idx="70">
                  <c:v>24.99063764259717</c:v>
                </c:pt>
                <c:pt idx="71">
                  <c:v>24.99136836317496</c:v>
                </c:pt>
                <c:pt idx="72">
                  <c:v>24.99204205190277</c:v>
                </c:pt>
                <c:pt idx="73">
                  <c:v>24.99266316004694</c:v>
                </c:pt>
                <c:pt idx="74">
                  <c:v>24.99323579145792</c:v>
                </c:pt>
                <c:pt idx="75">
                  <c:v>24.99376372968559</c:v>
                </c:pt>
                <c:pt idx="76">
                  <c:v>24.99425046297843</c:v>
                </c:pt>
                <c:pt idx="77">
                  <c:v>24.99469920733133</c:v>
                </c:pt>
                <c:pt idx="78">
                  <c:v>24.99511292773474</c:v>
                </c:pt>
                <c:pt idx="79">
                  <c:v>24.99549435776521</c:v>
                </c:pt>
                <c:pt idx="80">
                  <c:v>24.99584601764695</c:v>
                </c:pt>
                <c:pt idx="81">
                  <c:v>24.99617023090378</c:v>
                </c:pt>
                <c:pt idx="82">
                  <c:v>24.99646913971129</c:v>
                </c:pt>
                <c:pt idx="83">
                  <c:v>24.99674471905089</c:v>
                </c:pt>
                <c:pt idx="84">
                  <c:v>24.99699878975912</c:v>
                </c:pt>
                <c:pt idx="85">
                  <c:v>24.99723303055841</c:v>
                </c:pt>
                <c:pt idx="86">
                  <c:v>24.99744898914897</c:v>
                </c:pt>
                <c:pt idx="87">
                  <c:v>24.99764809243491</c:v>
                </c:pt>
                <c:pt idx="88">
                  <c:v>24.99783165595219</c:v>
                </c:pt>
                <c:pt idx="89">
                  <c:v>24.9980008925608</c:v>
                </c:pt>
                <c:pt idx="90">
                  <c:v>24.99815692045849</c:v>
                </c:pt>
                <c:pt idx="91">
                  <c:v>24.99830077056905</c:v>
                </c:pt>
                <c:pt idx="92">
                  <c:v>24.99843339335391</c:v>
                </c:pt>
                <c:pt idx="93">
                  <c:v>24.99855566509214</c:v>
                </c:pt>
                <c:pt idx="94">
                  <c:v>24.99866839367032</c:v>
                </c:pt>
                <c:pt idx="95">
                  <c:v>24.99877232392044</c:v>
                </c:pt>
                <c:pt idx="96">
                  <c:v>24.99886814254129</c:v>
                </c:pt>
                <c:pt idx="97">
                  <c:v>24.99895648263563</c:v>
                </c:pt>
                <c:pt idx="98">
                  <c:v>24.99903792789334</c:v>
                </c:pt>
                <c:pt idx="99">
                  <c:v>24.99911301644801</c:v>
                </c:pt>
                <c:pt idx="100">
                  <c:v>24.99918224443255</c:v>
                </c:pt>
                <c:pt idx="101">
                  <c:v>24.99324038174277</c:v>
                </c:pt>
                <c:pt idx="102">
                  <c:v>24.96989309160438</c:v>
                </c:pt>
                <c:pt idx="103">
                  <c:v>24.91907534991251</c:v>
                </c:pt>
                <c:pt idx="104">
                  <c:v>24.83222897839493</c:v>
                </c:pt>
                <c:pt idx="105">
                  <c:v>24.70244856114779</c:v>
                </c:pt>
                <c:pt idx="106">
                  <c:v>24.52459172334722</c:v>
                </c:pt>
                <c:pt idx="107">
                  <c:v>24.29535066188576</c:v>
                </c:pt>
                <c:pt idx="108">
                  <c:v>24.0132828026044</c:v>
                </c:pt>
                <c:pt idx="109">
                  <c:v>23.67879949364027</c:v>
                </c:pt>
                <c:pt idx="110">
                  <c:v>23.29411270389274</c:v>
                </c:pt>
                <c:pt idx="111">
                  <c:v>22.86314075381319</c:v>
                </c:pt>
                <c:pt idx="112">
                  <c:v>22.39137513674731</c:v>
                </c:pt>
                <c:pt idx="113">
                  <c:v>21.88571146766482</c:v>
                </c:pt>
                <c:pt idx="114">
                  <c:v>21.35424849833855</c:v>
                </c:pt>
                <c:pt idx="115">
                  <c:v>20.80605994179187</c:v>
                </c:pt>
                <c:pt idx="116">
                  <c:v>20.25094453444472</c:v>
                </c:pt>
                <c:pt idx="117">
                  <c:v>19.6991603150791</c:v>
                </c:pt>
                <c:pt idx="118">
                  <c:v>19.1611495020509</c:v>
                </c:pt>
                <c:pt idx="119">
                  <c:v>18.64726059428345</c:v>
                </c:pt>
                <c:pt idx="120">
                  <c:v>18.1674744015589</c:v>
                </c:pt>
                <c:pt idx="121">
                  <c:v>17.73114062358594</c:v>
                </c:pt>
                <c:pt idx="122">
                  <c:v>17.34673134745477</c:v>
                </c:pt>
                <c:pt idx="123">
                  <c:v>17.02161742561031</c:v>
                </c:pt>
                <c:pt idx="124">
                  <c:v>16.76187314147734</c:v>
                </c:pt>
                <c:pt idx="125">
                  <c:v>16.57211388107592</c:v>
                </c:pt>
                <c:pt idx="126">
                  <c:v>16.45537072338586</c:v>
                </c:pt>
                <c:pt idx="127">
                  <c:v>16.41300495973645</c:v>
                </c:pt>
                <c:pt idx="128">
                  <c:v>16.444664575379</c:v>
                </c:pt>
                <c:pt idx="129">
                  <c:v>16.54828369874443</c:v>
                </c:pt>
                <c:pt idx="130">
                  <c:v>16.72012497103755</c:v>
                </c:pt>
                <c:pt idx="131">
                  <c:v>16.9548637367323</c:v>
                </c:pt>
                <c:pt idx="132">
                  <c:v>17.24571193014585</c:v>
                </c:pt>
                <c:pt idx="133">
                  <c:v>17.58457855986108</c:v>
                </c:pt>
                <c:pt idx="134">
                  <c:v>17.96226279533167</c:v>
                </c:pt>
                <c:pt idx="135">
                  <c:v>18.36867486066508</c:v>
                </c:pt>
                <c:pt idx="136">
                  <c:v>18.79307925903997</c:v>
                </c:pt>
                <c:pt idx="137">
                  <c:v>19.22435430427996</c:v>
                </c:pt>
                <c:pt idx="138">
                  <c:v>19.65126153726062</c:v>
                </c:pt>
                <c:pt idx="139">
                  <c:v>20.06271836391108</c:v>
                </c:pt>
                <c:pt idx="140">
                  <c:v>20.44806717453266</c:v>
                </c:pt>
                <c:pt idx="141">
                  <c:v>20.80333998042279</c:v>
                </c:pt>
                <c:pt idx="142">
                  <c:v>21.13088417707272</c:v>
                </c:pt>
                <c:pt idx="143">
                  <c:v>21.43286394861827</c:v>
                </c:pt>
                <c:pt idx="144">
                  <c:v>21.7112745672627</c:v>
                </c:pt>
                <c:pt idx="145">
                  <c:v>21.96795557664707</c:v>
                </c:pt>
                <c:pt idx="146">
                  <c:v>22.20460294627462</c:v>
                </c:pt>
                <c:pt idx="147">
                  <c:v>22.42278027729709</c:v>
                </c:pt>
                <c:pt idx="148">
                  <c:v>22.62392913370318</c:v>
                </c:pt>
                <c:pt idx="149">
                  <c:v>22.80937856717025</c:v>
                </c:pt>
                <c:pt idx="150">
                  <c:v>22.98035389851306</c:v>
                </c:pt>
                <c:pt idx="151">
                  <c:v>23.13798481375106</c:v>
                </c:pt>
                <c:pt idx="152">
                  <c:v>23.28331282828757</c:v>
                </c:pt>
                <c:pt idx="153">
                  <c:v>23.41729816851878</c:v>
                </c:pt>
                <c:pt idx="154">
                  <c:v>23.54082611634171</c:v>
                </c:pt>
                <c:pt idx="155">
                  <c:v>23.6547128584809</c:v>
                </c:pt>
                <c:pt idx="156">
                  <c:v>23.75971087928239</c:v>
                </c:pt>
                <c:pt idx="157">
                  <c:v>23.85651393260669</c:v>
                </c:pt>
                <c:pt idx="158">
                  <c:v>23.94576162567154</c:v>
                </c:pt>
                <c:pt idx="159">
                  <c:v>24.02804364513132</c:v>
                </c:pt>
                <c:pt idx="160">
                  <c:v>24.1039036533162</c:v>
                </c:pt>
                <c:pt idx="161">
                  <c:v>24.17384288037445</c:v>
                </c:pt>
                <c:pt idx="162">
                  <c:v>24.23832343605254</c:v>
                </c:pt>
                <c:pt idx="163">
                  <c:v>24.29777136299479</c:v>
                </c:pt>
                <c:pt idx="164">
                  <c:v>24.35257945173666</c:v>
                </c:pt>
                <c:pt idx="165">
                  <c:v>24.40310983599136</c:v>
                </c:pt>
                <c:pt idx="166">
                  <c:v>24.4496963853774</c:v>
                </c:pt>
                <c:pt idx="167">
                  <c:v>24.49264691139673</c:v>
                </c:pt>
                <c:pt idx="168">
                  <c:v>24.53224520123894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'Aufgabe 6.7'!$K$11</c:f>
              <c:strCache>
                <c:ptCount val="1"/>
                <c:pt idx="0">
                  <c:v>  Δv = v2 - v1</c:v>
                </c:pt>
              </c:strCache>
            </c:strRef>
          </c:tx>
          <c:val>
            <c:numRef>
              <c:f>'Aufgabe 6.7'!$K$13:$K$181</c:f>
              <c:numCache>
                <c:formatCode>0.00</c:formatCode>
                <c:ptCount val="169"/>
                <c:pt idx="0">
                  <c:v>-0.234146341463415</c:v>
                </c:pt>
                <c:pt idx="1">
                  <c:v>-0.45001784651993</c:v>
                </c:pt>
                <c:pt idx="2">
                  <c:v>-0.649040843864721</c:v>
                </c:pt>
                <c:pt idx="3">
                  <c:v>-0.832530338977719</c:v>
                </c:pt>
                <c:pt idx="4">
                  <c:v>-1.001698702764827</c:v>
                </c:pt>
                <c:pt idx="5">
                  <c:v>-1.157663682061234</c:v>
                </c:pt>
                <c:pt idx="6">
                  <c:v>-1.301455784924752</c:v>
                </c:pt>
                <c:pt idx="7">
                  <c:v>-1.434025089515995</c:v>
                </c:pt>
                <c:pt idx="8">
                  <c:v>-1.556247521553775</c:v>
                </c:pt>
                <c:pt idx="9">
                  <c:v>-1.668930641822751</c:v>
                </c:pt>
                <c:pt idx="10">
                  <c:v>-1.772818981973174</c:v>
                </c:pt>
                <c:pt idx="11">
                  <c:v>-1.868598963867953</c:v>
                </c:pt>
                <c:pt idx="12">
                  <c:v>-1.9569034349807</c:v>
                </c:pt>
                <c:pt idx="13">
                  <c:v>-2.038315849811479</c:v>
                </c:pt>
                <c:pt idx="14">
                  <c:v>-2.113374124948148</c:v>
                </c:pt>
                <c:pt idx="15">
                  <c:v>-2.182574193244882</c:v>
                </c:pt>
                <c:pt idx="16">
                  <c:v>-2.246373280601382</c:v>
                </c:pt>
                <c:pt idx="17">
                  <c:v>-2.30519292699347</c:v>
                </c:pt>
                <c:pt idx="18">
                  <c:v>-2.359421771715933</c:v>
                </c:pt>
                <c:pt idx="19">
                  <c:v>-2.409418121240545</c:v>
                </c:pt>
                <c:pt idx="20">
                  <c:v>-2.45551231665592</c:v>
                </c:pt>
                <c:pt idx="21">
                  <c:v>-2.498008916331557</c:v>
                </c:pt>
                <c:pt idx="22">
                  <c:v>-2.537188708227631</c:v>
                </c:pt>
                <c:pt idx="23">
                  <c:v>-2.573310565146453</c:v>
                </c:pt>
                <c:pt idx="24">
                  <c:v>-2.606613155183808</c:v>
                </c:pt>
                <c:pt idx="25">
                  <c:v>-2.637316518681657</c:v>
                </c:pt>
                <c:pt idx="26">
                  <c:v>-2.665623522101629</c:v>
                </c:pt>
                <c:pt idx="27">
                  <c:v>-2.691721198425409</c:v>
                </c:pt>
                <c:pt idx="28">
                  <c:v>-2.715781982938552</c:v>
                </c:pt>
                <c:pt idx="29">
                  <c:v>-2.737964852562864</c:v>
                </c:pt>
                <c:pt idx="30">
                  <c:v>-2.758416376265277</c:v>
                </c:pt>
                <c:pt idx="31">
                  <c:v>-2.757538967766311</c:v>
                </c:pt>
                <c:pt idx="32">
                  <c:v>-2.715802370112584</c:v>
                </c:pt>
                <c:pt idx="33">
                  <c:v>-2.633554763223063</c:v>
                </c:pt>
                <c:pt idx="34">
                  <c:v>-2.511289886271371</c:v>
                </c:pt>
                <c:pt idx="35">
                  <c:v>-2.349646206718251</c:v>
                </c:pt>
                <c:pt idx="36">
                  <c:v>-2.149405430940607</c:v>
                </c:pt>
                <c:pt idx="37">
                  <c:v>-1.911490369143028</c:v>
                </c:pt>
                <c:pt idx="38">
                  <c:v>-1.636962169254517</c:v>
                </c:pt>
                <c:pt idx="39">
                  <c:v>-1.327016936513818</c:v>
                </c:pt>
                <c:pt idx="40">
                  <c:v>-0.982981757419246</c:v>
                </c:pt>
                <c:pt idx="41">
                  <c:v>-0.606310148653442</c:v>
                </c:pt>
                <c:pt idx="42">
                  <c:v>-0.198576953478796</c:v>
                </c:pt>
                <c:pt idx="43">
                  <c:v>0.238527290073968</c:v>
                </c:pt>
                <c:pt idx="44">
                  <c:v>0.70320248314335</c:v>
                </c:pt>
                <c:pt idx="45">
                  <c:v>1.19354557433925</c:v>
                </c:pt>
                <c:pt idx="46">
                  <c:v>1.707557613053414</c:v>
                </c:pt>
                <c:pt idx="47">
                  <c:v>2.243151216921376</c:v>
                </c:pt>
                <c:pt idx="48">
                  <c:v>2.798158421180403</c:v>
                </c:pt>
                <c:pt idx="49">
                  <c:v>3.370338876378014</c:v>
                </c:pt>
                <c:pt idx="50">
                  <c:v>3.957388359711434</c:v>
                </c:pt>
                <c:pt idx="51">
                  <c:v>4.556947564225165</c:v>
                </c:pt>
                <c:pt idx="52">
                  <c:v>5.166611129167784</c:v>
                </c:pt>
                <c:pt idx="53">
                  <c:v>5.783936874014174</c:v>
                </c:pt>
                <c:pt idx="54">
                  <c:v>6.406455198000593</c:v>
                </c:pt>
                <c:pt idx="55">
                  <c:v>7.031678606500065</c:v>
                </c:pt>
                <c:pt idx="56">
                  <c:v>7.657111325188318</c:v>
                </c:pt>
                <c:pt idx="57">
                  <c:v>8.280258962717134</c:v>
                </c:pt>
                <c:pt idx="58">
                  <c:v>8.898638182525552</c:v>
                </c:pt>
                <c:pt idx="59">
                  <c:v>9.509786344479323</c:v>
                </c:pt>
                <c:pt idx="60">
                  <c:v>10.11127107723736</c:v>
                </c:pt>
                <c:pt idx="61">
                  <c:v>10.70069974259902</c:v>
                </c:pt>
                <c:pt idx="62">
                  <c:v>11.27572875358816</c:v>
                </c:pt>
                <c:pt idx="63">
                  <c:v>11.83407270867654</c:v>
                </c:pt>
                <c:pt idx="64">
                  <c:v>12.37351330533935</c:v>
                </c:pt>
                <c:pt idx="65">
                  <c:v>12.89190799706537</c:v>
                </c:pt>
                <c:pt idx="66">
                  <c:v>13.3871983590117</c:v>
                </c:pt>
                <c:pt idx="67">
                  <c:v>13.85741812869268</c:v>
                </c:pt>
                <c:pt idx="68">
                  <c:v>14.30070088942238</c:v>
                </c:pt>
                <c:pt idx="69">
                  <c:v>14.7152873656816</c:v>
                </c:pt>
                <c:pt idx="70">
                  <c:v>15.0995323011523</c:v>
                </c:pt>
                <c:pt idx="71">
                  <c:v>-2.991368363174956</c:v>
                </c:pt>
                <c:pt idx="72">
                  <c:v>-2.992042051902768</c:v>
                </c:pt>
                <c:pt idx="73">
                  <c:v>-2.992663160046945</c:v>
                </c:pt>
                <c:pt idx="74">
                  <c:v>-2.993235791457916</c:v>
                </c:pt>
                <c:pt idx="75">
                  <c:v>-2.993763729685593</c:v>
                </c:pt>
                <c:pt idx="76">
                  <c:v>-2.994250462978428</c:v>
                </c:pt>
                <c:pt idx="77">
                  <c:v>-2.994699207331333</c:v>
                </c:pt>
                <c:pt idx="78">
                  <c:v>-2.995112927734745</c:v>
                </c:pt>
                <c:pt idx="79">
                  <c:v>-2.995494357765207</c:v>
                </c:pt>
                <c:pt idx="80">
                  <c:v>-2.995846017646951</c:v>
                </c:pt>
                <c:pt idx="81">
                  <c:v>-2.996170230903775</c:v>
                </c:pt>
                <c:pt idx="82">
                  <c:v>-2.996469139711287</c:v>
                </c:pt>
                <c:pt idx="83">
                  <c:v>-2.996744719050895</c:v>
                </c:pt>
                <c:pt idx="84">
                  <c:v>-2.996998789759118</c:v>
                </c:pt>
                <c:pt idx="85">
                  <c:v>-2.997233030558409</c:v>
                </c:pt>
                <c:pt idx="86">
                  <c:v>-2.997448989148975</c:v>
                </c:pt>
                <c:pt idx="87">
                  <c:v>-2.997648092434908</c:v>
                </c:pt>
                <c:pt idx="88">
                  <c:v>-2.997831655952186</c:v>
                </c:pt>
                <c:pt idx="89">
                  <c:v>-2.9980008925608</c:v>
                </c:pt>
                <c:pt idx="90">
                  <c:v>-2.998156920458495</c:v>
                </c:pt>
                <c:pt idx="91">
                  <c:v>-2.998300770569052</c:v>
                </c:pt>
                <c:pt idx="92">
                  <c:v>-2.99843339335391</c:v>
                </c:pt>
                <c:pt idx="93">
                  <c:v>-2.998555665092141</c:v>
                </c:pt>
                <c:pt idx="94">
                  <c:v>-2.998668393670318</c:v>
                </c:pt>
                <c:pt idx="95">
                  <c:v>-2.998772323920441</c:v>
                </c:pt>
                <c:pt idx="96">
                  <c:v>-2.998868142541287</c:v>
                </c:pt>
                <c:pt idx="97">
                  <c:v>-2.998956482635627</c:v>
                </c:pt>
                <c:pt idx="98">
                  <c:v>-2.999037927893337</c:v>
                </c:pt>
                <c:pt idx="99">
                  <c:v>-2.999113016448007</c:v>
                </c:pt>
                <c:pt idx="100">
                  <c:v>-2.999182244432553</c:v>
                </c:pt>
                <c:pt idx="101">
                  <c:v>-2.993240381742765</c:v>
                </c:pt>
                <c:pt idx="102">
                  <c:v>-2.969893091604383</c:v>
                </c:pt>
                <c:pt idx="103">
                  <c:v>-2.919075349912514</c:v>
                </c:pt>
                <c:pt idx="104">
                  <c:v>-2.83222897839493</c:v>
                </c:pt>
                <c:pt idx="105">
                  <c:v>-2.70244856114779</c:v>
                </c:pt>
                <c:pt idx="106">
                  <c:v>-2.524591723347221</c:v>
                </c:pt>
                <c:pt idx="107">
                  <c:v>-2.295350661885756</c:v>
                </c:pt>
                <c:pt idx="108">
                  <c:v>-2.013282802604405</c:v>
                </c:pt>
                <c:pt idx="109">
                  <c:v>-1.678799493640273</c:v>
                </c:pt>
                <c:pt idx="110">
                  <c:v>-1.29411270389274</c:v>
                </c:pt>
                <c:pt idx="111">
                  <c:v>-0.863140753813194</c:v>
                </c:pt>
                <c:pt idx="112">
                  <c:v>-0.391375136747314</c:v>
                </c:pt>
                <c:pt idx="113">
                  <c:v>0.114288532335181</c:v>
                </c:pt>
                <c:pt idx="114">
                  <c:v>0.645751501661447</c:v>
                </c:pt>
                <c:pt idx="115">
                  <c:v>1.193940058208135</c:v>
                </c:pt>
                <c:pt idx="116">
                  <c:v>1.749055465555276</c:v>
                </c:pt>
                <c:pt idx="117">
                  <c:v>2.300839684920898</c:v>
                </c:pt>
                <c:pt idx="118">
                  <c:v>2.838850497949096</c:v>
                </c:pt>
                <c:pt idx="119">
                  <c:v>3.352739405716548</c:v>
                </c:pt>
                <c:pt idx="120">
                  <c:v>3.832525598441109</c:v>
                </c:pt>
                <c:pt idx="121">
                  <c:v>4.268859376414063</c:v>
                </c:pt>
                <c:pt idx="122">
                  <c:v>4.653268652545233</c:v>
                </c:pt>
                <c:pt idx="123">
                  <c:v>4.978382574389687</c:v>
                </c:pt>
                <c:pt idx="124">
                  <c:v>5.238126858522659</c:v>
                </c:pt>
                <c:pt idx="125">
                  <c:v>5.427886118924082</c:v>
                </c:pt>
                <c:pt idx="126">
                  <c:v>5.544629276614138</c:v>
                </c:pt>
                <c:pt idx="127">
                  <c:v>5.586995040263545</c:v>
                </c:pt>
                <c:pt idx="128">
                  <c:v>5.555335424620996</c:v>
                </c:pt>
                <c:pt idx="129">
                  <c:v>5.451716301255565</c:v>
                </c:pt>
                <c:pt idx="130">
                  <c:v>5.279875028962447</c:v>
                </c:pt>
                <c:pt idx="131">
                  <c:v>5.0451362632677</c:v>
                </c:pt>
                <c:pt idx="132">
                  <c:v>4.754288069854148</c:v>
                </c:pt>
                <c:pt idx="133">
                  <c:v>4.415421440138921</c:v>
                </c:pt>
                <c:pt idx="134">
                  <c:v>4.037737204668332</c:v>
                </c:pt>
                <c:pt idx="135">
                  <c:v>3.631325139334923</c:v>
                </c:pt>
                <c:pt idx="136">
                  <c:v>3.206920740960026</c:v>
                </c:pt>
                <c:pt idx="137">
                  <c:v>2.775645695720041</c:v>
                </c:pt>
                <c:pt idx="138">
                  <c:v>2.348738462739376</c:v>
                </c:pt>
                <c:pt idx="139">
                  <c:v>1.937281636088919</c:v>
                </c:pt>
                <c:pt idx="140">
                  <c:v>1.551932825467343</c:v>
                </c:pt>
                <c:pt idx="141">
                  <c:v>1.196660019577209</c:v>
                </c:pt>
                <c:pt idx="142">
                  <c:v>0.869115822927277</c:v>
                </c:pt>
                <c:pt idx="143">
                  <c:v>0.56713605138173</c:v>
                </c:pt>
                <c:pt idx="144">
                  <c:v>0.288725432737301</c:v>
                </c:pt>
                <c:pt idx="145">
                  <c:v>0.0320444233529251</c:v>
                </c:pt>
                <c:pt idx="146">
                  <c:v>-0.204602946274623</c:v>
                </c:pt>
                <c:pt idx="147">
                  <c:v>-0.422780277297093</c:v>
                </c:pt>
                <c:pt idx="148">
                  <c:v>-0.623929133703175</c:v>
                </c:pt>
                <c:pt idx="149">
                  <c:v>-0.809378567170246</c:v>
                </c:pt>
                <c:pt idx="150">
                  <c:v>-0.980353898513059</c:v>
                </c:pt>
                <c:pt idx="151">
                  <c:v>-1.137984813751064</c:v>
                </c:pt>
                <c:pt idx="152">
                  <c:v>-1.283312828287571</c:v>
                </c:pt>
                <c:pt idx="153">
                  <c:v>-1.417298168518787</c:v>
                </c:pt>
                <c:pt idx="154">
                  <c:v>-1.540826116341712</c:v>
                </c:pt>
                <c:pt idx="155">
                  <c:v>-1.654712858480895</c:v>
                </c:pt>
                <c:pt idx="156">
                  <c:v>-1.759710879282387</c:v>
                </c:pt>
                <c:pt idx="157">
                  <c:v>-1.856513932606692</c:v>
                </c:pt>
                <c:pt idx="158">
                  <c:v>-1.945761625671537</c:v>
                </c:pt>
                <c:pt idx="159">
                  <c:v>-2.028043645131323</c:v>
                </c:pt>
                <c:pt idx="160">
                  <c:v>-2.103903653316198</c:v>
                </c:pt>
                <c:pt idx="161">
                  <c:v>-2.173842880374448</c:v>
                </c:pt>
                <c:pt idx="162">
                  <c:v>-2.238323436052543</c:v>
                </c:pt>
                <c:pt idx="163">
                  <c:v>-2.297771362994787</c:v>
                </c:pt>
                <c:pt idx="164">
                  <c:v>-2.352579451736659</c:v>
                </c:pt>
                <c:pt idx="165">
                  <c:v>-2.403109835991358</c:v>
                </c:pt>
                <c:pt idx="166">
                  <c:v>-2.4496963853774</c:v>
                </c:pt>
                <c:pt idx="167">
                  <c:v>-2.492646911396729</c:v>
                </c:pt>
                <c:pt idx="168">
                  <c:v>-2.53224520123894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484040"/>
        <c:axId val="2072646744"/>
      </c:lineChart>
      <c:catAx>
        <c:axId val="2083484040"/>
        <c:scaling>
          <c:orientation val="minMax"/>
        </c:scaling>
        <c:delete val="0"/>
        <c:axPos val="b"/>
        <c:majorTickMark val="out"/>
        <c:minorTickMark val="none"/>
        <c:tickLblPos val="nextTo"/>
        <c:crossAx val="2072646744"/>
        <c:crosses val="autoZero"/>
        <c:auto val="1"/>
        <c:lblAlgn val="ctr"/>
        <c:lblOffset val="100"/>
        <c:noMultiLvlLbl val="0"/>
      </c:catAx>
      <c:valAx>
        <c:axId val="20726467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3484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5568157858384"/>
          <c:y val="0.332601956145616"/>
          <c:w val="0.104801477377655"/>
          <c:h val="0.367664983581088"/>
        </c:manualLayout>
      </c:layout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'Aufgabe 6.9'!$F$11</c:f>
              <c:strCache>
                <c:ptCount val="1"/>
                <c:pt idx="0">
                  <c:v> x1(k) [m]</c:v>
                </c:pt>
              </c:strCache>
            </c:strRef>
          </c:tx>
          <c:val>
            <c:numRef>
              <c:f>'Aufgabe 6.9'!$F$13:$F$141</c:f>
              <c:numCache>
                <c:formatCode>0.000</c:formatCode>
                <c:ptCount val="129"/>
                <c:pt idx="0">
                  <c:v>-0.203198322580645</c:v>
                </c:pt>
                <c:pt idx="1">
                  <c:v>-0.453333224445369</c:v>
                </c:pt>
                <c:pt idx="2">
                  <c:v>-0.685070572912687</c:v>
                </c:pt>
                <c:pt idx="3">
                  <c:v>-0.874913366718463</c:v>
                </c:pt>
                <c:pt idx="4">
                  <c:v>-1.018043403688524</c:v>
                </c:pt>
                <c:pt idx="5">
                  <c:v>-1.11748214669667</c:v>
                </c:pt>
                <c:pt idx="6">
                  <c:v>-1.179091182978725</c:v>
                </c:pt>
                <c:pt idx="7">
                  <c:v>-1.209329924608913</c:v>
                </c:pt>
                <c:pt idx="8">
                  <c:v>-1.214305865616617</c:v>
                </c:pt>
                <c:pt idx="9">
                  <c:v>-1.19942276211731</c:v>
                </c:pt>
                <c:pt idx="10">
                  <c:v>-1.169298466810232</c:v>
                </c:pt>
                <c:pt idx="11">
                  <c:v>-1.127798283861128</c:v>
                </c:pt>
                <c:pt idx="12">
                  <c:v>-1.078112331956927</c:v>
                </c:pt>
                <c:pt idx="13">
                  <c:v>-1.022844480773289</c:v>
                </c:pt>
                <c:pt idx="14">
                  <c:v>-0.964098802071855</c:v>
                </c:pt>
                <c:pt idx="15">
                  <c:v>-0.903558026341798</c:v>
                </c:pt>
                <c:pt idx="16">
                  <c:v>-0.842552394610764</c:v>
                </c:pt>
                <c:pt idx="17">
                  <c:v>-0.782119003661996</c:v>
                </c:pt>
                <c:pt idx="18">
                  <c:v>-0.723052429931891</c:v>
                </c:pt>
                <c:pt idx="19">
                  <c:v>-0.665947636279252</c:v>
                </c:pt>
                <c:pt idx="20">
                  <c:v>-0.611236177545758</c:v>
                </c:pt>
                <c:pt idx="21">
                  <c:v>-0.559216647353329</c:v>
                </c:pt>
                <c:pt idx="22">
                  <c:v>-0.510080206047091</c:v>
                </c:pt>
                <c:pt idx="23">
                  <c:v>-0.463931923154219</c:v>
                </c:pt>
                <c:pt idx="24">
                  <c:v>-0.420808567693115</c:v>
                </c:pt>
                <c:pt idx="25">
                  <c:v>-0.380693389913792</c:v>
                </c:pt>
                <c:pt idx="26">
                  <c:v>-0.343528359334379</c:v>
                </c:pt>
                <c:pt idx="27">
                  <c:v>-0.30922425572783</c:v>
                </c:pt>
                <c:pt idx="28">
                  <c:v>-0.277668950991289</c:v>
                </c:pt>
                <c:pt idx="29">
                  <c:v>-0.24873416946323</c:v>
                </c:pt>
                <c:pt idx="30">
                  <c:v>-0.222280971143407</c:v>
                </c:pt>
                <c:pt idx="31">
                  <c:v>-0.198164165419792</c:v>
                </c:pt>
                <c:pt idx="32">
                  <c:v>-0.176235831433366</c:v>
                </c:pt>
                <c:pt idx="33">
                  <c:v>-0.156348094348253</c:v>
                </c:pt>
                <c:pt idx="34">
                  <c:v>-0.138355283878682</c:v>
                </c:pt>
                <c:pt idx="35">
                  <c:v>-0.122115581885834</c:v>
                </c:pt>
                <c:pt idx="36">
                  <c:v>-0.107492249208084</c:v>
                </c:pt>
                <c:pt idx="37">
                  <c:v>-0.0943545077088175</c:v>
                </c:pt>
                <c:pt idx="38">
                  <c:v>-0.0825781414583195</c:v>
                </c:pt>
                <c:pt idx="39">
                  <c:v>-0.0720458707033766</c:v>
                </c:pt>
                <c:pt idx="40">
                  <c:v>-0.062647543557583</c:v>
                </c:pt>
                <c:pt idx="41">
                  <c:v>-0.0542801829420719</c:v>
                </c:pt>
                <c:pt idx="42">
                  <c:v>-0.0468479200281982</c:v>
                </c:pt>
                <c:pt idx="43">
                  <c:v>-0.0402618401159378</c:v>
                </c:pt>
                <c:pt idx="44">
                  <c:v>-0.0344397623835498</c:v>
                </c:pt>
                <c:pt idx="45">
                  <c:v>-0.0293059711448313</c:v>
                </c:pt>
                <c:pt idx="46">
                  <c:v>-0.0247909130468917</c:v>
                </c:pt>
                <c:pt idx="47">
                  <c:v>-0.020830871945538</c:v>
                </c:pt>
                <c:pt idx="48">
                  <c:v>-0.0173676309315553</c:v>
                </c:pt>
                <c:pt idx="49">
                  <c:v>-0.0143481290848213</c:v>
                </c:pt>
                <c:pt idx="50">
                  <c:v>-0.011724118949055</c:v>
                </c:pt>
                <c:pt idx="51">
                  <c:v>-0.00945182940086791</c:v>
                </c:pt>
                <c:pt idx="52">
                  <c:v>-0.00749163749229043</c:v>
                </c:pt>
                <c:pt idx="53">
                  <c:v>-0.00580775194163671</c:v>
                </c:pt>
                <c:pt idx="54">
                  <c:v>-0.00436791020399738</c:v>
                </c:pt>
                <c:pt idx="55">
                  <c:v>-0.00314309044471317</c:v>
                </c:pt>
                <c:pt idx="56">
                  <c:v>-0.0021072392454574</c:v>
                </c:pt>
                <c:pt idx="57">
                  <c:v>-0.00123701547479628</c:v>
                </c:pt>
                <c:pt idx="58">
                  <c:v>-0.000511550437765119</c:v>
                </c:pt>
                <c:pt idx="59">
                  <c:v>8.77758311209378E-5</c:v>
                </c:pt>
                <c:pt idx="60">
                  <c:v>0.000577542461138044</c:v>
                </c:pt>
                <c:pt idx="61">
                  <c:v>0.000972480302302573</c:v>
                </c:pt>
                <c:pt idx="62">
                  <c:v>0.0012856497326915</c:v>
                </c:pt>
                <c:pt idx="63">
                  <c:v>0.00152860438057434</c:v>
                </c:pt>
                <c:pt idx="64">
                  <c:v>0.00171154147776119</c:v>
                </c:pt>
                <c:pt idx="65">
                  <c:v>0.00184343959161484</c:v>
                </c:pt>
                <c:pt idx="66">
                  <c:v>0.00193218449738744</c:v>
                </c:pt>
                <c:pt idx="67">
                  <c:v>0.00198468395335015</c:v>
                </c:pt>
                <c:pt idx="68">
                  <c:v>0.00200697213145804</c:v>
                </c:pt>
                <c:pt idx="69">
                  <c:v>0.00200430443841877</c:v>
                </c:pt>
                <c:pt idx="70">
                  <c:v>0.00198124343799902</c:v>
                </c:pt>
                <c:pt idx="71">
                  <c:v>0.00194173655684425</c:v>
                </c:pt>
                <c:pt idx="72">
                  <c:v>0.00188918622435536</c:v>
                </c:pt>
                <c:pt idx="73">
                  <c:v>0.00182651306335995</c:v>
                </c:pt>
                <c:pt idx="74">
                  <c:v>0.00175621271333064</c:v>
                </c:pt>
                <c:pt idx="75">
                  <c:v>0.00168040683245619</c:v>
                </c:pt>
                <c:pt idx="76">
                  <c:v>0.0016008887895345</c:v>
                </c:pt>
                <c:pt idx="77">
                  <c:v>0.00151916452187826</c:v>
                </c:pt>
                <c:pt idx="78">
                  <c:v>0.00143648900154985</c:v>
                </c:pt>
                <c:pt idx="79">
                  <c:v>0.00135389871953267</c:v>
                </c:pt>
                <c:pt idx="80">
                  <c:v>0.00127224056609064</c:v>
                </c:pt>
                <c:pt idx="81">
                  <c:v>0.00119219745569956</c:v>
                </c:pt>
                <c:pt idx="82">
                  <c:v>0.00111431101663608</c:v>
                </c:pt>
                <c:pt idx="83">
                  <c:v>0.00103900163862977</c:v>
                </c:pt>
                <c:pt idx="84">
                  <c:v>0.000966586146935364</c:v>
                </c:pt>
                <c:pt idx="85">
                  <c:v>0.000897293347756899</c:v>
                </c:pt>
                <c:pt idx="86">
                  <c:v>0.00083127766812342</c:v>
                </c:pt>
                <c:pt idx="87">
                  <c:v>0.000768631093034918</c:v>
                </c:pt>
                <c:pt idx="88">
                  <c:v>0.00070939358391103</c:v>
                </c:pt>
                <c:pt idx="89">
                  <c:v>0.000653562145021783</c:v>
                </c:pt>
                <c:pt idx="90">
                  <c:v>0.000601098688590352</c:v>
                </c:pt>
                <c:pt idx="91">
                  <c:v>0.000551936834560547</c:v>
                </c:pt>
                <c:pt idx="92">
                  <c:v>0.000505987767542468</c:v>
                </c:pt>
                <c:pt idx="93">
                  <c:v>0.000463145261114208</c:v>
                </c:pt>
                <c:pt idx="94">
                  <c:v>0.000423289968391556</c:v>
                </c:pt>
                <c:pt idx="95">
                  <c:v>0.000386293067508938</c:v>
                </c:pt>
                <c:pt idx="96">
                  <c:v>0.000352019341312818</c:v>
                </c:pt>
                <c:pt idx="97">
                  <c:v>0.00032032976208548</c:v>
                </c:pt>
                <c:pt idx="98">
                  <c:v>0.000291083644427412</c:v>
                </c:pt>
                <c:pt idx="99">
                  <c:v>0.000264140422468466</c:v>
                </c:pt>
                <c:pt idx="100">
                  <c:v>0.00023936110129282</c:v>
                </c:pt>
                <c:pt idx="101">
                  <c:v>0.000216609426795103</c:v>
                </c:pt>
                <c:pt idx="102">
                  <c:v>0.000195752813082986</c:v>
                </c:pt>
                <c:pt idx="103">
                  <c:v>0.000176663061956237</c:v>
                </c:pt>
                <c:pt idx="104">
                  <c:v>0.000159216904878453</c:v>
                </c:pt>
                <c:pt idx="105">
                  <c:v>0.000143296394173133</c:v>
                </c:pt>
                <c:pt idx="106">
                  <c:v>0.000128789166881331</c:v>
                </c:pt>
                <c:pt idx="107">
                  <c:v>0.000115588601777633</c:v>
                </c:pt>
                <c:pt idx="108">
                  <c:v>0.000103593887421256</c:v>
                </c:pt>
                <c:pt idx="109">
                  <c:v>9.27100167889776E-5</c:v>
                </c:pt>
                <c:pt idx="110">
                  <c:v>8.28477219680602E-5</c:v>
                </c:pt>
                <c:pt idx="111">
                  <c:v>7.39233605546233E-5</c:v>
                </c:pt>
                <c:pt idx="112">
                  <c:v>6.58587637822057E-5</c:v>
                </c:pt>
                <c:pt idx="113">
                  <c:v>5.85810549751228E-5</c:v>
                </c:pt>
                <c:pt idx="114">
                  <c:v>5.20224456618607E-5</c:v>
                </c:pt>
                <c:pt idx="115">
                  <c:v>4.61200155773195E-5</c:v>
                </c:pt>
                <c:pt idx="116">
                  <c:v>4.08154818129518E-5</c:v>
                </c:pt>
                <c:pt idx="117">
                  <c:v>3.60549615259971E-5</c:v>
                </c:pt>
                <c:pt idx="118">
                  <c:v>3.17887318797622E-5</c:v>
                </c:pt>
                <c:pt idx="119">
                  <c:v>2.79709902441877E-5</c:v>
                </c:pt>
                <c:pt idx="120">
                  <c:v>2.4559617128895E-5</c:v>
                </c:pt>
                <c:pt idx="121">
                  <c:v>2.15159438397469E-5</c:v>
                </c:pt>
                <c:pt idx="122">
                  <c:v>1.8804526435868E-5</c:v>
                </c:pt>
                <c:pt idx="123">
                  <c:v>1.63929272091543E-5</c:v>
                </c:pt>
                <c:pt idx="124">
                  <c:v>1.42515046054791E-5</c:v>
                </c:pt>
                <c:pt idx="125">
                  <c:v>1.23532122497252E-5</c:v>
                </c:pt>
                <c:pt idx="126">
                  <c:v>1.06734075197888E-5</c:v>
                </c:pt>
                <c:pt idx="127">
                  <c:v>9.18966993275326E-6</c:v>
                </c:pt>
                <c:pt idx="128">
                  <c:v>7.88162945502648E-6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'Aufgabe 6.9'!$G$11</c:f>
              <c:strCache>
                <c:ptCount val="1"/>
                <c:pt idx="0">
                  <c:v> y(k) [rad]</c:v>
                </c:pt>
              </c:strCache>
            </c:strRef>
          </c:tx>
          <c:val>
            <c:numRef>
              <c:f>'Aufgabe 6.9'!$G$13:$G$141</c:f>
              <c:numCache>
                <c:formatCode>0.000</c:formatCode>
                <c:ptCount val="129"/>
                <c:pt idx="0">
                  <c:v>0.0755445161290323</c:v>
                </c:pt>
                <c:pt idx="1">
                  <c:v>0.0457943897190427</c:v>
                </c:pt>
                <c:pt idx="2">
                  <c:v>0.0185761594771938</c:v>
                </c:pt>
                <c:pt idx="3">
                  <c:v>-0.00344835588046823</c:v>
                </c:pt>
                <c:pt idx="4">
                  <c:v>-0.0198823054518135</c:v>
                </c:pt>
                <c:pt idx="5">
                  <c:v>-0.0312454109143487</c:v>
                </c:pt>
                <c:pt idx="6">
                  <c:v>-0.0383592942137951</c:v>
                </c:pt>
                <c:pt idx="7">
                  <c:v>-0.0420778639815271</c:v>
                </c:pt>
                <c:pt idx="8">
                  <c:v>-0.0431783125786823</c:v>
                </c:pt>
                <c:pt idx="9">
                  <c:v>-0.0423254487214795</c:v>
                </c:pt>
                <c:pt idx="10">
                  <c:v>-0.0400682895071446</c:v>
                </c:pt>
                <c:pt idx="11">
                  <c:v>-0.0368497664177787</c:v>
                </c:pt>
                <c:pt idx="12">
                  <c:v>-0.0330207819838235</c:v>
                </c:pt>
                <c:pt idx="13">
                  <c:v>-0.0288547444455075</c:v>
                </c:pt>
                <c:pt idx="14">
                  <c:v>-0.0245609908531311</c:v>
                </c:pt>
                <c:pt idx="15">
                  <c:v>-0.0202965570958754</c:v>
                </c:pt>
                <c:pt idx="16">
                  <c:v>-0.0161762190769595</c:v>
                </c:pt>
                <c:pt idx="17">
                  <c:v>-0.0122809226894448</c:v>
                </c:pt>
                <c:pt idx="18">
                  <c:v>-0.00866478830811456</c:v>
                </c:pt>
                <c:pt idx="19">
                  <c:v>-0.00536088753060001</c:v>
                </c:pt>
                <c:pt idx="20">
                  <c:v>-0.00238597834732011</c:v>
                </c:pt>
                <c:pt idx="21">
                  <c:v>0.000255635208432065</c:v>
                </c:pt>
                <c:pt idx="22">
                  <c:v>0.00256897483889661</c:v>
                </c:pt>
                <c:pt idx="23">
                  <c:v>0.00456586801791432</c:v>
                </c:pt>
                <c:pt idx="24">
                  <c:v>0.00626293191692252</c:v>
                </c:pt>
                <c:pt idx="25">
                  <c:v>0.00767997327160325</c:v>
                </c:pt>
                <c:pt idx="26">
                  <c:v>0.00883873035574191</c:v>
                </c:pt>
                <c:pt idx="27">
                  <c:v>0.00976189525901016</c:v>
                </c:pt>
                <c:pt idx="28">
                  <c:v>0.0104723648643317</c:v>
                </c:pt>
                <c:pt idx="29">
                  <c:v>0.0109926775378155</c:v>
                </c:pt>
                <c:pt idx="30">
                  <c:v>0.0113445998078683</c:v>
                </c:pt>
                <c:pt idx="31">
                  <c:v>0.0115488334211595</c:v>
                </c:pt>
                <c:pt idx="32">
                  <c:v>0.0116248182960022</c:v>
                </c:pt>
                <c:pt idx="33">
                  <c:v>0.0115906111981577</c:v>
                </c:pt>
                <c:pt idx="34">
                  <c:v>0.01146282356797</c:v>
                </c:pt>
                <c:pt idx="35">
                  <c:v>0.0112566049399413</c:v>
                </c:pt>
                <c:pt idx="36">
                  <c:v>0.0109856609088864</c:v>
                </c:pt>
                <c:pt idx="37">
                  <c:v>0.0106622966891352</c:v>
                </c:pt>
                <c:pt idx="38">
                  <c:v>0.0102974790514309</c:v>
                </c:pt>
                <c:pt idx="39">
                  <c:v>0.0099009108625642</c:v>
                </c:pt>
                <c:pt idx="40">
                  <c:v>0.00948111364309252</c:v>
                </c:pt>
                <c:pt idx="41">
                  <c:v>0.00904551453907396</c:v>
                </c:pt>
                <c:pt idx="42">
                  <c:v>0.00860053490870959</c:v>
                </c:pt>
                <c:pt idx="43">
                  <c:v>0.00815167838293018</c:v>
                </c:pt>
                <c:pt idx="44">
                  <c:v>0.00770361679459921</c:v>
                </c:pt>
                <c:pt idx="45">
                  <c:v>0.00726027280461728</c:v>
                </c:pt>
                <c:pt idx="46">
                  <c:v>0.00682489840206377</c:v>
                </c:pt>
                <c:pt idx="47">
                  <c:v>0.00640014873411345</c:v>
                </c:pt>
                <c:pt idx="48">
                  <c:v>0.00598815094201696</c:v>
                </c:pt>
                <c:pt idx="49">
                  <c:v>0.00559056785216648</c:v>
                </c:pt>
                <c:pt idx="50">
                  <c:v>0.00520865650475445</c:v>
                </c:pt>
                <c:pt idx="51">
                  <c:v>0.00484332160394433</c:v>
                </c:pt>
                <c:pt idx="52">
                  <c:v>0.00449516404879292</c:v>
                </c:pt>
                <c:pt idx="53">
                  <c:v>0.0041645247583808</c:v>
                </c:pt>
                <c:pt idx="54">
                  <c:v>0.0038515240418652</c:v>
                </c:pt>
                <c:pt idx="55">
                  <c:v>0.003556096787904</c:v>
                </c:pt>
                <c:pt idx="56">
                  <c:v>0.00327802376095114</c:v>
                </c:pt>
                <c:pt idx="57">
                  <c:v>0.00301695929663185</c:v>
                </c:pt>
                <c:pt idx="58">
                  <c:v>0.00277245568669247</c:v>
                </c:pt>
                <c:pt idx="59">
                  <c:v>0.00254398453745311</c:v>
                </c:pt>
                <c:pt idx="60">
                  <c:v>0.00233095537554951</c:v>
                </c:pt>
                <c:pt idx="61">
                  <c:v>0.00213273176206515</c:v>
                </c:pt>
                <c:pt idx="62">
                  <c:v>0.00194864516175578</c:v>
                </c:pt>
                <c:pt idx="63">
                  <c:v>0.00177800679861585</c:v>
                </c:pt>
                <c:pt idx="64">
                  <c:v>0.00162011771305207</c:v>
                </c:pt>
                <c:pt idx="65">
                  <c:v>0.00147427721981939</c:v>
                </c:pt>
                <c:pt idx="66">
                  <c:v>0.00133978994995096</c:v>
                </c:pt>
                <c:pt idx="67">
                  <c:v>0.00121597164441144</c:v>
                </c:pt>
                <c:pt idx="68">
                  <c:v>0.00110215385229373</c:v>
                </c:pt>
                <c:pt idx="69">
                  <c:v>0.000997687672184947</c:v>
                </c:pt>
                <c:pt idx="70">
                  <c:v>0.000901946661927697</c:v>
                </c:pt>
                <c:pt idx="71">
                  <c:v>0.000814329029446653</c:v>
                </c:pt>
                <c:pt idx="72">
                  <c:v>0.000734259205619082</c:v>
                </c:pt>
                <c:pt idx="73">
                  <c:v>0.000661188889345009</c:v>
                </c:pt>
                <c:pt idx="74">
                  <c:v>0.000594597645004251</c:v>
                </c:pt>
                <c:pt idx="75">
                  <c:v>0.000533993123349724</c:v>
                </c:pt>
                <c:pt idx="76">
                  <c:v>0.000478910968546117</c:v>
                </c:pt>
                <c:pt idx="77">
                  <c:v>0.000428914466481711</c:v>
                </c:pt>
                <c:pt idx="78">
                  <c:v>0.000383593982615986</c:v>
                </c:pt>
                <c:pt idx="79">
                  <c:v>0.000342566231432065</c:v>
                </c:pt>
                <c:pt idx="80">
                  <c:v>0.000305473413994974</c:v>
                </c:pt>
                <c:pt idx="81">
                  <c:v>0.000271982255128357</c:v>
                </c:pt>
                <c:pt idx="82">
                  <c:v>0.000241782967268548</c:v>
                </c:pt>
                <c:pt idx="83">
                  <c:v>0.000214588164092033</c:v>
                </c:pt>
                <c:pt idx="84">
                  <c:v>0.000190131743498236</c:v>
                </c:pt>
                <c:pt idx="85">
                  <c:v>0.000168167756424234</c:v>
                </c:pt>
                <c:pt idx="86">
                  <c:v>0.000148469275233777</c:v>
                </c:pt>
                <c:pt idx="87">
                  <c:v>0.000130827273024246</c:v>
                </c:pt>
                <c:pt idx="88">
                  <c:v>0.000115049523099029</c:v>
                </c:pt>
                <c:pt idx="89">
                  <c:v>0.000100959526028499</c:v>
                </c:pt>
                <c:pt idx="90">
                  <c:v>8.83954701419701E-5</c:v>
                </c:pt>
                <c:pt idx="91">
                  <c:v>7.72092299297667E-5</c:v>
                </c:pt>
                <c:pt idx="92">
                  <c:v>6.72654056648394E-5</c:v>
                </c:pt>
                <c:pt idx="93">
                  <c:v>5.84404065555844E-5</c:v>
                </c:pt>
                <c:pt idx="94">
                  <c:v>5.06215788957269E-5</c:v>
                </c:pt>
                <c:pt idx="95">
                  <c:v>4.37063799654417E-5</c:v>
                </c:pt>
                <c:pt idx="96">
                  <c:v>3.76015978440191E-5</c:v>
                </c:pt>
                <c:pt idx="97">
                  <c:v>3.2222616803741E-5</c:v>
                </c:pt>
                <c:pt idx="98">
                  <c:v>2.7492727554047E-5</c:v>
                </c:pt>
                <c:pt idx="99">
                  <c:v>2.33424812827783E-5</c:v>
                </c:pt>
                <c:pt idx="100">
                  <c:v>1.97090861867563E-5</c:v>
                </c:pt>
                <c:pt idx="101">
                  <c:v>1.65358449878233E-5</c:v>
                </c:pt>
                <c:pt idx="102">
                  <c:v>1.37716317843953E-5</c:v>
                </c:pt>
                <c:pt idx="103">
                  <c:v>1.13704064852033E-5</c:v>
                </c:pt>
                <c:pt idx="104">
                  <c:v>9.29076500469055E-6</c:v>
                </c:pt>
                <c:pt idx="105">
                  <c:v>7.49552336277039E-6</c:v>
                </c:pt>
                <c:pt idx="106">
                  <c:v>5.95133382029373E-6</c:v>
                </c:pt>
                <c:pt idx="107">
                  <c:v>4.62833119122028E-6</c:v>
                </c:pt>
                <c:pt idx="108">
                  <c:v>3.49980749930334E-6</c:v>
                </c:pt>
                <c:pt idx="109">
                  <c:v>2.54191318774541E-6</c:v>
                </c:pt>
                <c:pt idx="110">
                  <c:v>1.73338314188117E-6</c:v>
                </c:pt>
                <c:pt idx="111">
                  <c:v>1.05528584501467E-6</c:v>
                </c:pt>
                <c:pt idx="112">
                  <c:v>4.90794053949965E-7</c:v>
                </c:pt>
                <c:pt idx="113">
                  <c:v>2.49754516983299E-8</c:v>
                </c:pt>
                <c:pt idx="114">
                  <c:v>-3.55398191215918E-7</c:v>
                </c:pt>
                <c:pt idx="115">
                  <c:v>-6.62024739787387E-7</c:v>
                </c:pt>
                <c:pt idx="116">
                  <c:v>-9.05229618569274E-7</c:v>
                </c:pt>
                <c:pt idx="117">
                  <c:v>-1.09410917739195E-6</c:v>
                </c:pt>
                <c:pt idx="118">
                  <c:v>-1.23666066443002E-6</c:v>
                </c:pt>
                <c:pt idx="119">
                  <c:v>-1.33989989887144E-6</c:v>
                </c:pt>
                <c:pt idx="120">
                  <c:v>-1.40996766407861E-6</c:v>
                </c:pt>
                <c:pt idx="121">
                  <c:v>-1.45222577318248E-6</c:v>
                </c:pt>
                <c:pt idx="122">
                  <c:v>-1.47134369278756E-6</c:v>
                </c:pt>
                <c:pt idx="123">
                  <c:v>-1.47137654708555E-6</c:v>
                </c:pt>
                <c:pt idx="124">
                  <c:v>-1.45583526430757E-6</c:v>
                </c:pt>
                <c:pt idx="125">
                  <c:v>-1.42774957016651E-6</c:v>
                </c:pt>
                <c:pt idx="126">
                  <c:v>-1.38972447878306E-6</c:v>
                </c:pt>
                <c:pt idx="127">
                  <c:v>-1.3439908805438E-6</c:v>
                </c:pt>
                <c:pt idx="128">
                  <c:v>-1.29245077837057E-6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377336"/>
        <c:axId val="2072654664"/>
      </c:lineChart>
      <c:catAx>
        <c:axId val="20833773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72654664"/>
        <c:crosses val="autoZero"/>
        <c:auto val="1"/>
        <c:lblAlgn val="ctr"/>
        <c:lblOffset val="100"/>
        <c:noMultiLvlLbl val="0"/>
      </c:catAx>
      <c:valAx>
        <c:axId val="207265466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8337733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'Aufgabe 6.9'!$H$11</c:f>
              <c:strCache>
                <c:ptCount val="1"/>
                <c:pt idx="0">
                  <c:v>φ (Grad)</c:v>
                </c:pt>
              </c:strCache>
            </c:strRef>
          </c:tx>
          <c:val>
            <c:numRef>
              <c:f>'Aufgabe 6.9'!$H$13:$H$141</c:f>
              <c:numCache>
                <c:formatCode>0.00</c:formatCode>
                <c:ptCount val="129"/>
                <c:pt idx="0">
                  <c:v>4.328381939551524</c:v>
                </c:pt>
                <c:pt idx="1">
                  <c:v>2.623825256278433</c:v>
                </c:pt>
                <c:pt idx="2">
                  <c:v>1.064335537605151</c:v>
                </c:pt>
                <c:pt idx="3">
                  <c:v>-0.197576238209949</c:v>
                </c:pt>
                <c:pt idx="4">
                  <c:v>-1.139172189378861</c:v>
                </c:pt>
                <c:pt idx="5">
                  <c:v>-1.79023017454418</c:v>
                </c:pt>
                <c:pt idx="6">
                  <c:v>-2.19782566355106</c:v>
                </c:pt>
                <c:pt idx="7">
                  <c:v>-2.410884017067045</c:v>
                </c:pt>
                <c:pt idx="8">
                  <c:v>-2.473935077255129</c:v>
                </c:pt>
                <c:pt idx="9">
                  <c:v>-2.425069577738161</c:v>
                </c:pt>
                <c:pt idx="10">
                  <c:v>-2.295743881067706</c:v>
                </c:pt>
                <c:pt idx="11">
                  <c:v>-2.111336091781637</c:v>
                </c:pt>
                <c:pt idx="12">
                  <c:v>-1.891951443894712</c:v>
                </c:pt>
                <c:pt idx="13">
                  <c:v>-1.653255075656138</c:v>
                </c:pt>
                <c:pt idx="14">
                  <c:v>-1.407241116543833</c:v>
                </c:pt>
                <c:pt idx="15">
                  <c:v>-1.162907060239961</c:v>
                </c:pt>
                <c:pt idx="16">
                  <c:v>-0.926829081588787</c:v>
                </c:pt>
                <c:pt idx="17">
                  <c:v>-0.703645038631642</c:v>
                </c:pt>
                <c:pt idx="18">
                  <c:v>-0.496455800429266</c:v>
                </c:pt>
                <c:pt idx="19">
                  <c:v>-0.30715622994769</c:v>
                </c:pt>
                <c:pt idx="20">
                  <c:v>-0.136706489311042</c:v>
                </c:pt>
                <c:pt idx="21">
                  <c:v>0.0146468185381044</c:v>
                </c:pt>
                <c:pt idx="22">
                  <c:v>0.147191415944076</c:v>
                </c:pt>
                <c:pt idx="23">
                  <c:v>0.261604967240253</c:v>
                </c:pt>
                <c:pt idx="24">
                  <c:v>0.358839566217439</c:v>
                </c:pt>
                <c:pt idx="25">
                  <c:v>0.440030055236145</c:v>
                </c:pt>
                <c:pt idx="26">
                  <c:v>0.506421945638176</c:v>
                </c:pt>
                <c:pt idx="27">
                  <c:v>0.55931539839005</c:v>
                </c:pt>
                <c:pt idx="28">
                  <c:v>0.600022308247297</c:v>
                </c:pt>
                <c:pt idx="29">
                  <c:v>0.62983402846509</c:v>
                </c:pt>
                <c:pt idx="30">
                  <c:v>0.649997689255776</c:v>
                </c:pt>
                <c:pt idx="31">
                  <c:v>0.661699413332071</c:v>
                </c:pt>
                <c:pt idx="32">
                  <c:v>0.666053025967386</c:v>
                </c:pt>
                <c:pt idx="33">
                  <c:v>0.664093103631507</c:v>
                </c:pt>
                <c:pt idx="34">
                  <c:v>0.656771411747773</c:v>
                </c:pt>
                <c:pt idx="35">
                  <c:v>0.644955954704748</c:v>
                </c:pt>
                <c:pt idx="36">
                  <c:v>0.629432005241043</c:v>
                </c:pt>
                <c:pt idx="37">
                  <c:v>0.610904600203759</c:v>
                </c:pt>
                <c:pt idx="38">
                  <c:v>0.590002089271367</c:v>
                </c:pt>
                <c:pt idx="39">
                  <c:v>0.56728040576016</c:v>
                </c:pt>
                <c:pt idx="40">
                  <c:v>0.543227796833106</c:v>
                </c:pt>
                <c:pt idx="41">
                  <c:v>0.518269806613162</c:v>
                </c:pt>
                <c:pt idx="42">
                  <c:v>0.492774351823992</c:v>
                </c:pt>
                <c:pt idx="43">
                  <c:v>0.467056767289927</c:v>
                </c:pt>
                <c:pt idx="44">
                  <c:v>0.441384729316634</c:v>
                </c:pt>
                <c:pt idx="45">
                  <c:v>0.41598298981818</c:v>
                </c:pt>
                <c:pt idx="46">
                  <c:v>0.391037874043834</c:v>
                </c:pt>
                <c:pt idx="47">
                  <c:v>0.366701510720697</c:v>
                </c:pt>
                <c:pt idx="48">
                  <c:v>0.34309577606486</c:v>
                </c:pt>
                <c:pt idx="49">
                  <c:v>0.320315943010657</c:v>
                </c:pt>
                <c:pt idx="50">
                  <c:v>0.298434034655793</c:v>
                </c:pt>
                <c:pt idx="51">
                  <c:v>0.277501886730543</c:v>
                </c:pt>
                <c:pt idx="52">
                  <c:v>0.257553928214774</c:v>
                </c:pt>
                <c:pt idx="53">
                  <c:v>0.238609692332959</c:v>
                </c:pt>
                <c:pt idx="54">
                  <c:v>0.220676072292044</c:v>
                </c:pt>
                <c:pt idx="55">
                  <c:v>0.203749337486928</c:v>
                </c:pt>
                <c:pt idx="56">
                  <c:v>0.187816926646102</c:v>
                </c:pt>
                <c:pt idx="57">
                  <c:v>0.172859034659763</c:v>
                </c:pt>
                <c:pt idx="58">
                  <c:v>0.158850009734523</c:v>
                </c:pt>
                <c:pt idx="59">
                  <c:v>0.145759577142604</c:v>
                </c:pt>
                <c:pt idx="60">
                  <c:v>0.133553905252319</c:v>
                </c:pt>
                <c:pt idx="61">
                  <c:v>0.122196528799832</c:v>
                </c:pt>
                <c:pt idx="62">
                  <c:v>0.111649143537194</c:v>
                </c:pt>
                <c:pt idx="63">
                  <c:v>0.101872285506255</c:v>
                </c:pt>
                <c:pt idx="64">
                  <c:v>0.0928259072722707</c:v>
                </c:pt>
                <c:pt idx="65">
                  <c:v>0.0844698625279317</c:v>
                </c:pt>
                <c:pt idx="66">
                  <c:v>0.0767643095662337</c:v>
                </c:pt>
                <c:pt idx="67">
                  <c:v>0.0696700432323579</c:v>
                </c:pt>
                <c:pt idx="68">
                  <c:v>0.063148764110516</c:v>
                </c:pt>
                <c:pt idx="69">
                  <c:v>0.0571632928884291</c:v>
                </c:pt>
                <c:pt idx="70">
                  <c:v>0.0516777370743699</c:v>
                </c:pt>
                <c:pt idx="71">
                  <c:v>0.0466576165222778</c:v>
                </c:pt>
                <c:pt idx="72">
                  <c:v>0.0420699535506019</c:v>
                </c:pt>
                <c:pt idx="73">
                  <c:v>0.0378833328204114</c:v>
                </c:pt>
                <c:pt idx="74">
                  <c:v>0.0340679355671616</c:v>
                </c:pt>
                <c:pt idx="75">
                  <c:v>0.0305955522569479</c:v>
                </c:pt>
                <c:pt idx="76">
                  <c:v>0.027439577260215</c:v>
                </c:pt>
                <c:pt idx="77">
                  <c:v>0.0245749887015075</c:v>
                </c:pt>
                <c:pt idx="78">
                  <c:v>0.0219783162505107</c:v>
                </c:pt>
                <c:pt idx="79">
                  <c:v>0.0196275992647591</c:v>
                </c:pt>
                <c:pt idx="80">
                  <c:v>0.0175023373753646</c:v>
                </c:pt>
                <c:pt idx="81">
                  <c:v>0.0155834353213053</c:v>
                </c:pt>
                <c:pt idx="82">
                  <c:v>0.0138531435826375</c:v>
                </c:pt>
                <c:pt idx="83">
                  <c:v>0.0122949961359343</c:v>
                </c:pt>
                <c:pt idx="84">
                  <c:v>0.0108937464539129</c:v>
                </c:pt>
                <c:pt idx="85">
                  <c:v>0.00963530269329265</c:v>
                </c:pt>
                <c:pt idx="86">
                  <c:v>0.00850666285826165</c:v>
                </c:pt>
                <c:pt idx="87">
                  <c:v>0.00749585058949502</c:v>
                </c:pt>
                <c:pt idx="88">
                  <c:v>0.00659185210856726</c:v>
                </c:pt>
                <c:pt idx="89">
                  <c:v>0.00578455474307417</c:v>
                </c:pt>
                <c:pt idx="90">
                  <c:v>0.00506468736720957</c:v>
                </c:pt>
                <c:pt idx="91">
                  <c:v>0.00442376301443079</c:v>
                </c:pt>
                <c:pt idx="92">
                  <c:v>0.00385402385183068</c:v>
                </c:pt>
                <c:pt idx="93">
                  <c:v>0.00334838864866365</c:v>
                </c:pt>
                <c:pt idx="94">
                  <c:v>0.00290040282301367</c:v>
                </c:pt>
                <c:pt idx="95">
                  <c:v>0.00250419110981495</c:v>
                </c:pt>
                <c:pt idx="96">
                  <c:v>0.00215441285941051</c:v>
                </c:pt>
                <c:pt idx="97">
                  <c:v>0.00184621994772168</c:v>
                </c:pt>
                <c:pt idx="98">
                  <c:v>0.00157521725614992</c:v>
                </c:pt>
                <c:pt idx="99">
                  <c:v>0.00133742566086631</c:v>
                </c:pt>
                <c:pt idx="100">
                  <c:v>0.00112924745656073</c:v>
                </c:pt>
                <c:pt idx="101">
                  <c:v>0.00094743412848483</c:v>
                </c:pt>
                <c:pt idx="102">
                  <c:v>0.000789056378254068</c:v>
                </c:pt>
                <c:pt idx="103">
                  <c:v>0.000651476302950331</c:v>
                </c:pt>
                <c:pt idx="104">
                  <c:v>0.000532321623216611</c:v>
                </c:pt>
                <c:pt idx="105">
                  <c:v>0.000429461853928449</c:v>
                </c:pt>
                <c:pt idx="106">
                  <c:v>0.0003409863103763</c:v>
                </c:pt>
                <c:pt idx="107">
                  <c:v>0.000265183843445679</c:v>
                </c:pt>
                <c:pt idx="108">
                  <c:v>0.000200524198818316</c:v>
                </c:pt>
                <c:pt idx="109">
                  <c:v>0.000145640897546457</c:v>
                </c:pt>
                <c:pt idx="110">
                  <c:v>9.93155383089172E-5</c:v>
                </c:pt>
                <c:pt idx="111">
                  <c:v>6.04634250992374E-5</c:v>
                </c:pt>
                <c:pt idx="112">
                  <c:v>2.8120427901449E-5</c:v>
                </c:pt>
                <c:pt idx="113">
                  <c:v>1.43098797374715E-6</c:v>
                </c:pt>
                <c:pt idx="114">
                  <c:v>-2.03628164032555E-5</c:v>
                </c:pt>
                <c:pt idx="115">
                  <c:v>-3.79312235230638E-5</c:v>
                </c:pt>
                <c:pt idx="116">
                  <c:v>-5.18658366342567E-5</c:v>
                </c:pt>
                <c:pt idx="117">
                  <c:v>-6.26878381910891E-5</c:v>
                </c:pt>
                <c:pt idx="118">
                  <c:v>-7.08554367616845E-5</c:v>
                </c:pt>
                <c:pt idx="119">
                  <c:v>-7.67706091753391E-5</c:v>
                </c:pt>
                <c:pt idx="120">
                  <c:v>-8.07851964016237E-5</c:v>
                </c:pt>
                <c:pt idx="121">
                  <c:v>-8.3206407703479E-5</c:v>
                </c:pt>
                <c:pt idx="122">
                  <c:v>-8.43017838099204E-5</c:v>
                </c:pt>
                <c:pt idx="123">
                  <c:v>-8.43036662225343E-5</c:v>
                </c:pt>
                <c:pt idx="124">
                  <c:v>-8.34132163111367E-5</c:v>
                </c:pt>
                <c:pt idx="125">
                  <c:v>-8.18040245721586E-5</c:v>
                </c:pt>
                <c:pt idx="126">
                  <c:v>-7.96253473202876E-5</c:v>
                </c:pt>
                <c:pt idx="127">
                  <c:v>-7.70050051592308E-5</c:v>
                </c:pt>
                <c:pt idx="128">
                  <c:v>-7.40519748290317E-5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254232"/>
        <c:axId val="2083029624"/>
      </c:lineChart>
      <c:catAx>
        <c:axId val="2083254232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029624"/>
        <c:crosses val="autoZero"/>
        <c:auto val="1"/>
        <c:lblAlgn val="ctr"/>
        <c:lblOffset val="100"/>
        <c:noMultiLvlLbl val="0"/>
      </c:catAx>
      <c:valAx>
        <c:axId val="20830296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3254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'Aufgabe 6.9'!$B$11</c:f>
              <c:strCache>
                <c:ptCount val="1"/>
                <c:pt idx="0">
                  <c:v>F(k) [N]</c:v>
                </c:pt>
              </c:strCache>
            </c:strRef>
          </c:tx>
          <c:val>
            <c:numRef>
              <c:f>'Aufgabe 6.9'!$B$13:$B$141</c:f>
              <c:numCache>
                <c:formatCode>0.000</c:formatCode>
                <c:ptCount val="129"/>
                <c:pt idx="0">
                  <c:v>-21453.0</c:v>
                </c:pt>
                <c:pt idx="1">
                  <c:v>-5380.57377419354</c:v>
                </c:pt>
                <c:pt idx="2">
                  <c:v>1561.112947582729</c:v>
                </c:pt>
                <c:pt idx="3">
                  <c:v>4241.18080436117</c:v>
                </c:pt>
                <c:pt idx="4">
                  <c:v>4969.510265348752</c:v>
                </c:pt>
                <c:pt idx="5">
                  <c:v>4837.81055990676</c:v>
                </c:pt>
                <c:pt idx="6">
                  <c:v>4358.36008581592</c:v>
                </c:pt>
                <c:pt idx="7">
                  <c:v>3768.197424909728</c:v>
                </c:pt>
                <c:pt idx="8">
                  <c:v>3173.954750928498</c:v>
                </c:pt>
                <c:pt idx="9">
                  <c:v>2620.786181523364</c:v>
                </c:pt>
                <c:pt idx="10">
                  <c:v>2125.143523384298</c:v>
                </c:pt>
                <c:pt idx="11">
                  <c:v>1690.33526046921</c:v>
                </c:pt>
                <c:pt idx="12">
                  <c:v>1313.888625267135</c:v>
                </c:pt>
                <c:pt idx="13">
                  <c:v>991.011094626232</c:v>
                </c:pt>
                <c:pt idx="14">
                  <c:v>716.1976145766566</c:v>
                </c:pt>
                <c:pt idx="15">
                  <c:v>483.9580593003775</c:v>
                </c:pt>
                <c:pt idx="16">
                  <c:v>289.1288862520605</c:v>
                </c:pt>
                <c:pt idx="17">
                  <c:v>126.9897621151395</c:v>
                </c:pt>
                <c:pt idx="18">
                  <c:v>-6.709897244631065</c:v>
                </c:pt>
                <c:pt idx="19">
                  <c:v>-115.7646947875737</c:v>
                </c:pt>
                <c:pt idx="20">
                  <c:v>-203.5438167047287</c:v>
                </c:pt>
                <c:pt idx="21">
                  <c:v>-273.027382232975</c:v>
                </c:pt>
                <c:pt idx="22">
                  <c:v>-326.8435112025213</c:v>
                </c:pt>
                <c:pt idx="23">
                  <c:v>-367.3038616053254</c:v>
                </c:pt>
                <c:pt idx="24">
                  <c:v>-396.4367219306682</c:v>
                </c:pt>
                <c:pt idx="25">
                  <c:v>-416.01736725206</c:v>
                </c:pt>
                <c:pt idx="26">
                  <c:v>-427.5956753272044</c:v>
                </c:pt>
                <c:pt idx="27">
                  <c:v>-432.5211261715831</c:v>
                </c:pt>
                <c:pt idx="28">
                  <c:v>-431.9653599656865</c:v>
                </c:pt>
                <c:pt idx="29">
                  <c:v>-426.942483915511</c:v>
                </c:pt>
                <c:pt idx="30">
                  <c:v>-418.3273179415878</c:v>
                </c:pt>
                <c:pt idx="31">
                  <c:v>-406.8717609381915</c:v>
                </c:pt>
                <c:pt idx="32">
                  <c:v>-393.2194481589006</c:v>
                </c:pt>
                <c:pt idx="33">
                  <c:v>-377.9188581036708</c:v>
                </c:pt>
                <c:pt idx="34">
                  <c:v>-361.4350150738363</c:v>
                </c:pt>
                <c:pt idx="35">
                  <c:v>-344.1599217713563</c:v>
                </c:pt>
                <c:pt idx="36">
                  <c:v>-326.4218451430528</c:v>
                </c:pt>
                <c:pt idx="37">
                  <c:v>-308.4935681854522</c:v>
                </c:pt>
                <c:pt idx="38">
                  <c:v>-290.5997106482918</c:v>
                </c:pt>
                <c:pt idx="39">
                  <c:v>-272.92321249396</c:v>
                </c:pt>
                <c:pt idx="40">
                  <c:v>-255.6110655613284</c:v>
                </c:pt>
                <c:pt idx="41">
                  <c:v>-238.779371114349</c:v>
                </c:pt>
                <c:pt idx="42">
                  <c:v>-222.5177937943935</c:v>
                </c:pt>
                <c:pt idx="43">
                  <c:v>-206.8934759052772</c:v>
                </c:pt>
                <c:pt idx="44">
                  <c:v>-191.9544699062383</c:v>
                </c:pt>
                <c:pt idx="45">
                  <c:v>-177.7327414361941</c:v>
                </c:pt>
                <c:pt idx="46">
                  <c:v>-164.2467901088548</c:v>
                </c:pt>
                <c:pt idx="47">
                  <c:v>-151.5039306702893</c:v>
                </c:pt>
                <c:pt idx="48">
                  <c:v>-139.5022728673605</c:v>
                </c:pt>
                <c:pt idx="49">
                  <c:v>-128.2324345073576</c:v>
                </c:pt>
                <c:pt idx="50">
                  <c:v>-117.6790186680974</c:v>
                </c:pt>
                <c:pt idx="51">
                  <c:v>-107.8218828170783</c:v>
                </c:pt>
                <c:pt idx="52">
                  <c:v>-98.63722469285707</c:v>
                </c:pt>
                <c:pt idx="53">
                  <c:v>-90.09850716808789</c:v>
                </c:pt>
                <c:pt idx="54">
                  <c:v>-82.17724192941648</c:v>
                </c:pt>
                <c:pt idx="55">
                  <c:v>-74.84364965407303</c:v>
                </c:pt>
                <c:pt idx="56">
                  <c:v>-68.06721241711</c:v>
                </c:pt>
                <c:pt idx="57">
                  <c:v>-61.81713230894338</c:v>
                </c:pt>
                <c:pt idx="58">
                  <c:v>-56.06270866338333</c:v>
                </c:pt>
                <c:pt idx="59">
                  <c:v>-50.77364487630682</c:v>
                </c:pt>
                <c:pt idx="60">
                  <c:v>-45.92029452013772</c:v>
                </c:pt>
                <c:pt idx="61">
                  <c:v>-41.47385531623482</c:v>
                </c:pt>
                <c:pt idx="62">
                  <c:v>-37.40651850389744</c:v>
                </c:pt>
                <c:pt idx="63">
                  <c:v>-33.69158022984513</c:v>
                </c:pt>
                <c:pt idx="64">
                  <c:v>-30.30352076538162</c:v>
                </c:pt>
                <c:pt idx="65">
                  <c:v>-27.21805663060951</c:v>
                </c:pt>
                <c:pt idx="66">
                  <c:v>-24.41217005737043</c:v>
                </c:pt>
                <c:pt idx="67">
                  <c:v>-21.86411964715973</c:v>
                </c:pt>
                <c:pt idx="68">
                  <c:v>-19.5534355698892</c:v>
                </c:pt>
                <c:pt idx="69">
                  <c:v>-17.46090219748929</c:v>
                </c:pt>
                <c:pt idx="70">
                  <c:v>-15.56853066696356</c:v>
                </c:pt>
                <c:pt idx="71">
                  <c:v>-13.8595235152017</c:v>
                </c:pt>
                <c:pt idx="72">
                  <c:v>-12.31823321769828</c:v>
                </c:pt>
                <c:pt idx="73">
                  <c:v>-10.93011619082727</c:v>
                </c:pt>
                <c:pt idx="74">
                  <c:v>-9.681683578453727</c:v>
                </c:pt>
                <c:pt idx="75">
                  <c:v>-8.560449934759478</c:v>
                </c:pt>
                <c:pt idx="76">
                  <c:v>-7.55488073291586</c:v>
                </c:pt>
                <c:pt idx="77">
                  <c:v>-6.654339470681689</c:v>
                </c:pt>
                <c:pt idx="78">
                  <c:v>-5.849035006455615</c:v>
                </c:pt>
                <c:pt idx="79">
                  <c:v>-5.129969640358741</c:v>
                </c:pt>
                <c:pt idx="80">
                  <c:v>-4.488888352409415</c:v>
                </c:pt>
                <c:pt idx="81">
                  <c:v>-3.918229521830021</c:v>
                </c:pt>
                <c:pt idx="82">
                  <c:v>-3.411077376267942</c:v>
                </c:pt>
                <c:pt idx="83">
                  <c:v>-2.961116355664578</c:v>
                </c:pt>
                <c:pt idx="84">
                  <c:v>-2.562587521282266</c:v>
                </c:pt>
                <c:pt idx="85">
                  <c:v>-2.210247094769659</c:v>
                </c:pt>
                <c:pt idx="86">
                  <c:v>-1.899327174008133</c:v>
                </c:pt>
                <c:pt idx="87">
                  <c:v>-1.625498640865959</c:v>
                </c:pt>
                <c:pt idx="88">
                  <c:v>-1.384836250023953</c:v>
                </c:pt>
                <c:pt idx="89">
                  <c:v>-1.173785866963506</c:v>
                </c:pt>
                <c:pt idx="90">
                  <c:v>-0.989133806347855</c:v>
                </c:pt>
                <c:pt idx="91">
                  <c:v>-0.82797820878396</c:v>
                </c:pt>
                <c:pt idx="92">
                  <c:v>-0.687702383800032</c:v>
                </c:pt>
                <c:pt idx="93">
                  <c:v>-0.565950039351809</c:v>
                </c:pt>
                <c:pt idx="94">
                  <c:v>-0.460602312875088</c:v>
                </c:pt>
                <c:pt idx="95">
                  <c:v>-0.369756515478257</c:v>
                </c:pt>
                <c:pt idx="96">
                  <c:v>-0.291706499010432</c:v>
                </c:pt>
                <c:pt idx="97">
                  <c:v>-0.224924555177932</c:v>
                </c:pt>
                <c:pt idx="98">
                  <c:v>-0.168044756383793</c:v>
                </c:pt>
                <c:pt idx="99">
                  <c:v>-0.119847649329347</c:v>
                </c:pt>
                <c:pt idx="100">
                  <c:v>-0.079246214471453</c:v>
                </c:pt>
                <c:pt idx="101">
                  <c:v>-0.0452730070244365</c:v>
                </c:pt>
                <c:pt idx="102">
                  <c:v>-0.0170683982058601</c:v>
                </c:pt>
                <c:pt idx="103">
                  <c:v>0.00613016125875387</c:v>
                </c:pt>
                <c:pt idx="104">
                  <c:v>0.0249979298260752</c:v>
                </c:pt>
                <c:pt idx="105">
                  <c:v>0.0401317868048339</c:v>
                </c:pt>
                <c:pt idx="106">
                  <c:v>0.0520583340474633</c:v>
                </c:pt>
                <c:pt idx="107">
                  <c:v>0.0612412509420516</c:v>
                </c:pt>
                <c:pt idx="108">
                  <c:v>0.0680879622426333</c:v>
                </c:pt>
                <c:pt idx="109">
                  <c:v>0.0729556745935623</c:v>
                </c:pt>
                <c:pt idx="110">
                  <c:v>0.0761568340079272</c:v>
                </c:pt>
                <c:pt idx="111">
                  <c:v>0.0779640530728314</c:v>
                </c:pt>
                <c:pt idx="112">
                  <c:v>0.0786145532926808</c:v>
                </c:pt>
                <c:pt idx="113">
                  <c:v>0.0783141647579995</c:v>
                </c:pt>
                <c:pt idx="114">
                  <c:v>0.0772409222503075</c:v>
                </c:pt>
                <c:pt idx="115">
                  <c:v>0.0755482939689075</c:v>
                </c:pt>
                <c:pt idx="116">
                  <c:v>0.0733680762958975</c:v>
                </c:pt>
                <c:pt idx="117">
                  <c:v>0.0708129854021673</c:v>
                </c:pt>
                <c:pt idx="118">
                  <c:v>0.0679789740384329</c:v>
                </c:pt>
                <c:pt idx="119">
                  <c:v>0.0649472995491157</c:v>
                </c:pt>
                <c:pt idx="120">
                  <c:v>0.0617863669893556</c:v>
                </c:pt>
                <c:pt idx="121">
                  <c:v>0.0585533692122015</c:v>
                </c:pt>
                <c:pt idx="122">
                  <c:v>0.055295743918725</c:v>
                </c:pt>
                <c:pt idx="123">
                  <c:v>0.0520524659228068</c:v>
                </c:pt>
                <c:pt idx="124">
                  <c:v>0.0488551912684696</c:v>
                </c:pt>
                <c:pt idx="125">
                  <c:v>0.0457292683446259</c:v>
                </c:pt>
                <c:pt idx="126">
                  <c:v>0.0426946297634895</c:v>
                </c:pt>
                <c:pt idx="127">
                  <c:v>0.0397665774982451</c:v>
                </c:pt>
                <c:pt idx="128">
                  <c:v>0.036956472606436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546424"/>
        <c:axId val="2082524200"/>
      </c:lineChart>
      <c:catAx>
        <c:axId val="208254642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524200"/>
        <c:crosses val="autoZero"/>
        <c:auto val="1"/>
        <c:lblAlgn val="ctr"/>
        <c:lblOffset val="100"/>
        <c:noMultiLvlLbl val="0"/>
      </c:catAx>
      <c:valAx>
        <c:axId val="208252420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82546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6.18a'!$B$6</c:f>
              <c:strCache>
                <c:ptCount val="1"/>
                <c:pt idx="0">
                  <c:v> x(k)</c:v>
                </c:pt>
              </c:strCache>
            </c:strRef>
          </c:tx>
          <c:val>
            <c:numRef>
              <c:f>'Aufgabe 6.18a'!$B$9:$B$93</c:f>
              <c:numCache>
                <c:formatCode>0</c:formatCode>
                <c:ptCount val="8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1.0</c:v>
                </c:pt>
                <c:pt idx="34">
                  <c:v>1.0</c:v>
                </c:pt>
                <c:pt idx="35">
                  <c:v>1.0</c:v>
                </c:pt>
                <c:pt idx="36">
                  <c:v>1.0</c:v>
                </c:pt>
                <c:pt idx="37">
                  <c:v>1.0</c:v>
                </c:pt>
                <c:pt idx="38">
                  <c:v>1.0</c:v>
                </c:pt>
                <c:pt idx="39">
                  <c:v>1.0</c:v>
                </c:pt>
                <c:pt idx="40">
                  <c:v>1.0</c:v>
                </c:pt>
                <c:pt idx="41">
                  <c:v>1.0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'Aufgabe 6.18a'!$C$6</c:f>
              <c:strCache>
                <c:ptCount val="1"/>
                <c:pt idx="0">
                  <c:v> y1(k)</c:v>
                </c:pt>
              </c:strCache>
            </c:strRef>
          </c:tx>
          <c:val>
            <c:numRef>
              <c:f>'Aufgabe 6.18a'!$C$9:$C$93</c:f>
              <c:numCache>
                <c:formatCode>0.000</c:formatCode>
                <c:ptCount val="85"/>
                <c:pt idx="0">
                  <c:v>0.1</c:v>
                </c:pt>
                <c:pt idx="1">
                  <c:v>0.19</c:v>
                </c:pt>
                <c:pt idx="2">
                  <c:v>0.271</c:v>
                </c:pt>
                <c:pt idx="3">
                  <c:v>0.3439</c:v>
                </c:pt>
                <c:pt idx="4">
                  <c:v>0.40951</c:v>
                </c:pt>
                <c:pt idx="5">
                  <c:v>0.468559</c:v>
                </c:pt>
                <c:pt idx="6">
                  <c:v>0.5217031</c:v>
                </c:pt>
                <c:pt idx="7">
                  <c:v>0.56953279</c:v>
                </c:pt>
                <c:pt idx="8">
                  <c:v>0.612579511</c:v>
                </c:pt>
                <c:pt idx="9">
                  <c:v>0.6513215599</c:v>
                </c:pt>
                <c:pt idx="10">
                  <c:v>0.68618940391</c:v>
                </c:pt>
                <c:pt idx="11">
                  <c:v>0.717570463519</c:v>
                </c:pt>
                <c:pt idx="12">
                  <c:v>0.7458134171671</c:v>
                </c:pt>
                <c:pt idx="13">
                  <c:v>0.77123207545039</c:v>
                </c:pt>
                <c:pt idx="14">
                  <c:v>0.794108867905351</c:v>
                </c:pt>
                <c:pt idx="15">
                  <c:v>0.814697981114816</c:v>
                </c:pt>
                <c:pt idx="16">
                  <c:v>0.833228183003334</c:v>
                </c:pt>
                <c:pt idx="17">
                  <c:v>0.849905364703001</c:v>
                </c:pt>
                <c:pt idx="18">
                  <c:v>0.864914828232701</c:v>
                </c:pt>
                <c:pt idx="19">
                  <c:v>0.878423345409431</c:v>
                </c:pt>
                <c:pt idx="20">
                  <c:v>0.890581010868488</c:v>
                </c:pt>
                <c:pt idx="21">
                  <c:v>0.901522909781639</c:v>
                </c:pt>
                <c:pt idx="22">
                  <c:v>0.911370618803475</c:v>
                </c:pt>
                <c:pt idx="23">
                  <c:v>0.920233556923127</c:v>
                </c:pt>
                <c:pt idx="24">
                  <c:v>0.928210201230815</c:v>
                </c:pt>
                <c:pt idx="25">
                  <c:v>0.935389181107733</c:v>
                </c:pt>
                <c:pt idx="26">
                  <c:v>0.94185026299696</c:v>
                </c:pt>
                <c:pt idx="27">
                  <c:v>0.947665236697264</c:v>
                </c:pt>
                <c:pt idx="28">
                  <c:v>0.952898713027538</c:v>
                </c:pt>
                <c:pt idx="29">
                  <c:v>0.957608841724784</c:v>
                </c:pt>
                <c:pt idx="30">
                  <c:v>0.961847957552305</c:v>
                </c:pt>
                <c:pt idx="31">
                  <c:v>0.965663161797075</c:v>
                </c:pt>
                <c:pt idx="32">
                  <c:v>0.969096845617367</c:v>
                </c:pt>
                <c:pt idx="33">
                  <c:v>0.97218716105563</c:v>
                </c:pt>
                <c:pt idx="34">
                  <c:v>0.974968444950067</c:v>
                </c:pt>
                <c:pt idx="35">
                  <c:v>0.977471600455061</c:v>
                </c:pt>
                <c:pt idx="36">
                  <c:v>0.979724440409555</c:v>
                </c:pt>
                <c:pt idx="37">
                  <c:v>0.981751996368599</c:v>
                </c:pt>
                <c:pt idx="38">
                  <c:v>0.983576796731739</c:v>
                </c:pt>
                <c:pt idx="39">
                  <c:v>0.985219117058565</c:v>
                </c:pt>
                <c:pt idx="40">
                  <c:v>0.986697205352709</c:v>
                </c:pt>
                <c:pt idx="41">
                  <c:v>0.988027484817438</c:v>
                </c:pt>
                <c:pt idx="42">
                  <c:v>0.989224736335694</c:v>
                </c:pt>
                <c:pt idx="43">
                  <c:v>0.990302262702125</c:v>
                </c:pt>
                <c:pt idx="44">
                  <c:v>0.991272036431912</c:v>
                </c:pt>
                <c:pt idx="45">
                  <c:v>0.992144832788721</c:v>
                </c:pt>
                <c:pt idx="46">
                  <c:v>0.992930349509849</c:v>
                </c:pt>
                <c:pt idx="47">
                  <c:v>0.993637314558864</c:v>
                </c:pt>
                <c:pt idx="48">
                  <c:v>0.994273583102978</c:v>
                </c:pt>
                <c:pt idx="49">
                  <c:v>0.99484622479268</c:v>
                </c:pt>
                <c:pt idx="50">
                  <c:v>0.995361602313412</c:v>
                </c:pt>
                <c:pt idx="51">
                  <c:v>0.995825442082071</c:v>
                </c:pt>
                <c:pt idx="52">
                  <c:v>0.996242897873864</c:v>
                </c:pt>
                <c:pt idx="53">
                  <c:v>0.996618608086477</c:v>
                </c:pt>
                <c:pt idx="54">
                  <c:v>0.99695674727783</c:v>
                </c:pt>
                <c:pt idx="55">
                  <c:v>0.997261072550047</c:v>
                </c:pt>
                <c:pt idx="56">
                  <c:v>0.997534965295042</c:v>
                </c:pt>
                <c:pt idx="57">
                  <c:v>0.997781468765538</c:v>
                </c:pt>
                <c:pt idx="58">
                  <c:v>0.998003321888984</c:v>
                </c:pt>
                <c:pt idx="59">
                  <c:v>0.998202989700086</c:v>
                </c:pt>
                <c:pt idx="60">
                  <c:v>0.998382690730077</c:v>
                </c:pt>
                <c:pt idx="61">
                  <c:v>0.998544421657069</c:v>
                </c:pt>
                <c:pt idx="62">
                  <c:v>0.998689979491362</c:v>
                </c:pt>
                <c:pt idx="63">
                  <c:v>0.998820981542226</c:v>
                </c:pt>
                <c:pt idx="64">
                  <c:v>0.998938883388004</c:v>
                </c:pt>
                <c:pt idx="65">
                  <c:v>0.999044995049203</c:v>
                </c:pt>
                <c:pt idx="66">
                  <c:v>0.999140495544283</c:v>
                </c:pt>
                <c:pt idx="67">
                  <c:v>0.999226445989855</c:v>
                </c:pt>
                <c:pt idx="68">
                  <c:v>0.999303801390869</c:v>
                </c:pt>
                <c:pt idx="69">
                  <c:v>0.999373421251782</c:v>
                </c:pt>
                <c:pt idx="70">
                  <c:v>0.999436079126604</c:v>
                </c:pt>
                <c:pt idx="71">
                  <c:v>0.999492471213944</c:v>
                </c:pt>
                <c:pt idx="72">
                  <c:v>0.999543224092549</c:v>
                </c:pt>
                <c:pt idx="73">
                  <c:v>0.999588901683294</c:v>
                </c:pt>
                <c:pt idx="74">
                  <c:v>0.999630011514965</c:v>
                </c:pt>
                <c:pt idx="75">
                  <c:v>0.999667010363468</c:v>
                </c:pt>
                <c:pt idx="76">
                  <c:v>0.999700309327121</c:v>
                </c:pt>
                <c:pt idx="77">
                  <c:v>0.999730278394409</c:v>
                </c:pt>
                <c:pt idx="78">
                  <c:v>0.999757250554968</c:v>
                </c:pt>
                <c:pt idx="79">
                  <c:v>0.999781525499471</c:v>
                </c:pt>
                <c:pt idx="80">
                  <c:v>0.999803372949524</c:v>
                </c:pt>
                <c:pt idx="81">
                  <c:v>0.999823035654572</c:v>
                </c:pt>
                <c:pt idx="82">
                  <c:v>0.999840732089115</c:v>
                </c:pt>
                <c:pt idx="83">
                  <c:v>0.999856658880203</c:v>
                </c:pt>
                <c:pt idx="84">
                  <c:v>0.999870992992183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'Aufgabe 6.18a'!$D$6</c:f>
              <c:strCache>
                <c:ptCount val="1"/>
                <c:pt idx="0">
                  <c:v> y2(k)</c:v>
                </c:pt>
              </c:strCache>
            </c:strRef>
          </c:tx>
          <c:val>
            <c:numRef>
              <c:f>'Aufgabe 6.18a'!$D$9:$D$93</c:f>
              <c:numCache>
                <c:formatCode>0.000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'Aufgabe 6.18a'!$E$6</c:f>
              <c:strCache>
                <c:ptCount val="1"/>
                <c:pt idx="0">
                  <c:v> y(k)</c:v>
                </c:pt>
              </c:strCache>
            </c:strRef>
          </c:tx>
          <c:val>
            <c:numRef>
              <c:f>'Aufgabe 6.18a'!$E$9:$E$93</c:f>
              <c:numCache>
                <c:formatCode>0.000</c:formatCode>
                <c:ptCount val="85"/>
                <c:pt idx="0">
                  <c:v>0.196777560833886</c:v>
                </c:pt>
                <c:pt idx="1">
                  <c:v>0.257503342748532</c:v>
                </c:pt>
                <c:pt idx="2">
                  <c:v>0.322768655727518</c:v>
                </c:pt>
                <c:pt idx="3">
                  <c:v>0.386241684054954</c:v>
                </c:pt>
                <c:pt idx="4">
                  <c:v>0.441061340274298</c:v>
                </c:pt>
                <c:pt idx="5">
                  <c:v>0.492833085513592</c:v>
                </c:pt>
                <c:pt idx="6">
                  <c:v>0.536759081885132</c:v>
                </c:pt>
                <c:pt idx="7">
                  <c:v>0.581705883902144</c:v>
                </c:pt>
                <c:pt idx="8">
                  <c:v>0.619518344887236</c:v>
                </c:pt>
                <c:pt idx="9">
                  <c:v>0.651908971246091</c:v>
                </c:pt>
                <c:pt idx="10">
                  <c:v>0.679147629071361</c:v>
                </c:pt>
                <c:pt idx="11">
                  <c:v>0.70970023257861</c:v>
                </c:pt>
                <c:pt idx="12">
                  <c:v>0.734932947062541</c:v>
                </c:pt>
                <c:pt idx="13">
                  <c:v>0.761617662022739</c:v>
                </c:pt>
                <c:pt idx="14">
                  <c:v>0.782374778677204</c:v>
                </c:pt>
                <c:pt idx="15">
                  <c:v>0.803320269107803</c:v>
                </c:pt>
                <c:pt idx="16">
                  <c:v>0.820189263221695</c:v>
                </c:pt>
                <c:pt idx="17">
                  <c:v>0.833635489017841</c:v>
                </c:pt>
                <c:pt idx="18">
                  <c:v>0.843996523478445</c:v>
                </c:pt>
                <c:pt idx="19">
                  <c:v>0.859818957211696</c:v>
                </c:pt>
                <c:pt idx="20">
                  <c:v>0.872281616973451</c:v>
                </c:pt>
                <c:pt idx="21">
                  <c:v>0.883870233899882</c:v>
                </c:pt>
                <c:pt idx="22">
                  <c:v>0.892230893454693</c:v>
                </c:pt>
                <c:pt idx="23">
                  <c:v>0.901968327161044</c:v>
                </c:pt>
                <c:pt idx="24">
                  <c:v>0.915016098428371</c:v>
                </c:pt>
                <c:pt idx="25">
                  <c:v>0.92565553353898</c:v>
                </c:pt>
                <c:pt idx="26">
                  <c:v>0.935525442577835</c:v>
                </c:pt>
                <c:pt idx="27">
                  <c:v>0.941806506166595</c:v>
                </c:pt>
                <c:pt idx="28">
                  <c:v>0.945935301255243</c:v>
                </c:pt>
                <c:pt idx="29">
                  <c:v>0.952705550737513</c:v>
                </c:pt>
                <c:pt idx="30">
                  <c:v>0.960356267783755</c:v>
                </c:pt>
                <c:pt idx="31">
                  <c:v>0.959619197024253</c:v>
                </c:pt>
                <c:pt idx="32">
                  <c:v>0.966103749641363</c:v>
                </c:pt>
                <c:pt idx="33">
                  <c:v>0.967652318382481</c:v>
                </c:pt>
                <c:pt idx="34">
                  <c:v>0.974616712088707</c:v>
                </c:pt>
                <c:pt idx="35">
                  <c:v>0.979521249602679</c:v>
                </c:pt>
                <c:pt idx="36">
                  <c:v>0.982523421265333</c:v>
                </c:pt>
                <c:pt idx="37">
                  <c:v>0.98692451520995</c:v>
                </c:pt>
                <c:pt idx="38">
                  <c:v>0.982854442009186</c:v>
                </c:pt>
                <c:pt idx="39">
                  <c:v>0.982072514561832</c:v>
                </c:pt>
                <c:pt idx="40">
                  <c:v>0.986944909024641</c:v>
                </c:pt>
                <c:pt idx="41">
                  <c:v>0.991171865920885</c:v>
                </c:pt>
                <c:pt idx="42">
                  <c:v>0.98802128181587</c:v>
                </c:pt>
                <c:pt idx="43">
                  <c:v>0.986149097002274</c:v>
                </c:pt>
                <c:pt idx="44">
                  <c:v>0.983859517996574</c:v>
                </c:pt>
                <c:pt idx="45">
                  <c:v>0.985240309355187</c:v>
                </c:pt>
                <c:pt idx="46">
                  <c:v>0.985163063563748</c:v>
                </c:pt>
                <c:pt idx="47">
                  <c:v>0.98252725319296</c:v>
                </c:pt>
                <c:pt idx="48">
                  <c:v>0.984683955860288</c:v>
                </c:pt>
                <c:pt idx="49">
                  <c:v>0.982425657676856</c:v>
                </c:pt>
                <c:pt idx="50">
                  <c:v>0.985525019949179</c:v>
                </c:pt>
                <c:pt idx="51">
                  <c:v>0.986903311388502</c:v>
                </c:pt>
                <c:pt idx="52">
                  <c:v>0.990247260863225</c:v>
                </c:pt>
                <c:pt idx="53">
                  <c:v>0.987074934943706</c:v>
                </c:pt>
                <c:pt idx="54">
                  <c:v>0.993189486910571</c:v>
                </c:pt>
                <c:pt idx="55">
                  <c:v>0.989047873394252</c:v>
                </c:pt>
                <c:pt idx="56">
                  <c:v>0.992945114137223</c:v>
                </c:pt>
                <c:pt idx="57">
                  <c:v>0.997711938393893</c:v>
                </c:pt>
                <c:pt idx="58">
                  <c:v>0.993212068379275</c:v>
                </c:pt>
                <c:pt idx="59">
                  <c:v>0.995698953659672</c:v>
                </c:pt>
                <c:pt idx="60">
                  <c:v>0.993067746940048</c:v>
                </c:pt>
                <c:pt idx="61">
                  <c:v>0.998724582021381</c:v>
                </c:pt>
                <c:pt idx="62">
                  <c:v>0.995211099006949</c:v>
                </c:pt>
                <c:pt idx="63">
                  <c:v>0.997158237641452</c:v>
                </c:pt>
                <c:pt idx="64">
                  <c:v>0.999653162669331</c:v>
                </c:pt>
                <c:pt idx="65">
                  <c:v>1.00349076353858</c:v>
                </c:pt>
                <c:pt idx="66">
                  <c:v>0.998764844125037</c:v>
                </c:pt>
                <c:pt idx="67">
                  <c:v>0.998773453254216</c:v>
                </c:pt>
                <c:pt idx="68">
                  <c:v>1.003302382431445</c:v>
                </c:pt>
                <c:pt idx="69">
                  <c:v>1.001155512191528</c:v>
                </c:pt>
                <c:pt idx="70">
                  <c:v>0.99804473728357</c:v>
                </c:pt>
                <c:pt idx="71">
                  <c:v>0.99782319534844</c:v>
                </c:pt>
                <c:pt idx="72">
                  <c:v>0.997198398977157</c:v>
                </c:pt>
                <c:pt idx="73">
                  <c:v>1.000736918657191</c:v>
                </c:pt>
                <c:pt idx="74">
                  <c:v>1.003113665440942</c:v>
                </c:pt>
                <c:pt idx="75">
                  <c:v>1.000118064102731</c:v>
                </c:pt>
                <c:pt idx="76">
                  <c:v>1.004188920965608</c:v>
                </c:pt>
                <c:pt idx="77">
                  <c:v>1.006514164083112</c:v>
                </c:pt>
                <c:pt idx="78">
                  <c:v>1.006884839312925</c:v>
                </c:pt>
                <c:pt idx="79">
                  <c:v>1.00821011749149</c:v>
                </c:pt>
                <c:pt idx="80">
                  <c:v>1.005630764176483</c:v>
                </c:pt>
                <c:pt idx="81">
                  <c:v>1.005346216259965</c:v>
                </c:pt>
                <c:pt idx="82">
                  <c:v>1.009001073277493</c:v>
                </c:pt>
                <c:pt idx="83">
                  <c:v>1.010092760697085</c:v>
                </c:pt>
                <c:pt idx="84">
                  <c:v>1.004646541565774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659576"/>
        <c:axId val="2083330552"/>
      </c:lineChart>
      <c:catAx>
        <c:axId val="208265957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330552"/>
        <c:crosses val="autoZero"/>
        <c:auto val="1"/>
        <c:lblAlgn val="ctr"/>
        <c:lblOffset val="100"/>
        <c:noMultiLvlLbl val="0"/>
      </c:catAx>
      <c:valAx>
        <c:axId val="20833305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265957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'Aufgabe 6.18a'!$F$6</c:f>
              <c:strCache>
                <c:ptCount val="1"/>
                <c:pt idx="0">
                  <c:v>e1(k)</c:v>
                </c:pt>
              </c:strCache>
            </c:strRef>
          </c:tx>
          <c:val>
            <c:numRef>
              <c:f>'Aufgabe 6.18a'!$F$9:$F$93</c:f>
              <c:numCache>
                <c:formatCode>0.000</c:formatCode>
                <c:ptCount val="85"/>
                <c:pt idx="0">
                  <c:v>0.0967775608338858</c:v>
                </c:pt>
                <c:pt idx="1">
                  <c:v>0.0675033427485321</c:v>
                </c:pt>
                <c:pt idx="2">
                  <c:v>0.0517686557275181</c:v>
                </c:pt>
                <c:pt idx="3">
                  <c:v>0.0423416840549538</c:v>
                </c:pt>
                <c:pt idx="4">
                  <c:v>0.0315513402742984</c:v>
                </c:pt>
                <c:pt idx="5">
                  <c:v>0.0242740855135917</c:v>
                </c:pt>
                <c:pt idx="6">
                  <c:v>0.0150559818851319</c:v>
                </c:pt>
                <c:pt idx="7">
                  <c:v>0.0121730939021435</c:v>
                </c:pt>
                <c:pt idx="8">
                  <c:v>0.00693883388723582</c:v>
                </c:pt>
                <c:pt idx="9">
                  <c:v>0.000587411346090971</c:v>
                </c:pt>
                <c:pt idx="10">
                  <c:v>-0.00704177483863877</c:v>
                </c:pt>
                <c:pt idx="11">
                  <c:v>-0.0078702309403903</c:v>
                </c:pt>
                <c:pt idx="12">
                  <c:v>-0.0108804701045594</c:v>
                </c:pt>
                <c:pt idx="13">
                  <c:v>-0.0096144134276509</c:v>
                </c:pt>
                <c:pt idx="14">
                  <c:v>-0.0117340892281467</c:v>
                </c:pt>
                <c:pt idx="15">
                  <c:v>-0.0113777120070127</c:v>
                </c:pt>
                <c:pt idx="16">
                  <c:v>-0.0130389197816397</c:v>
                </c:pt>
                <c:pt idx="17">
                  <c:v>-0.0162698756851599</c:v>
                </c:pt>
                <c:pt idx="18">
                  <c:v>-0.0209183047542556</c:v>
                </c:pt>
                <c:pt idx="19">
                  <c:v>-0.018604388197735</c:v>
                </c:pt>
                <c:pt idx="20">
                  <c:v>-0.0182993938950371</c:v>
                </c:pt>
                <c:pt idx="21">
                  <c:v>-0.0176526758817572</c:v>
                </c:pt>
                <c:pt idx="22">
                  <c:v>-0.0191397253487824</c:v>
                </c:pt>
                <c:pt idx="23">
                  <c:v>-0.0182652297620833</c:v>
                </c:pt>
                <c:pt idx="24">
                  <c:v>-0.0131941028024434</c:v>
                </c:pt>
                <c:pt idx="25">
                  <c:v>-0.00973364756875294</c:v>
                </c:pt>
                <c:pt idx="26">
                  <c:v>-0.00632482041912541</c:v>
                </c:pt>
                <c:pt idx="27">
                  <c:v>-0.00585873053066932</c:v>
                </c:pt>
                <c:pt idx="28">
                  <c:v>-0.00696341177229431</c:v>
                </c:pt>
                <c:pt idx="29">
                  <c:v>-0.00490329098727116</c:v>
                </c:pt>
                <c:pt idx="30">
                  <c:v>-0.00149168976855041</c:v>
                </c:pt>
                <c:pt idx="31">
                  <c:v>-0.00604396477282176</c:v>
                </c:pt>
                <c:pt idx="32">
                  <c:v>-0.00299309597600383</c:v>
                </c:pt>
                <c:pt idx="33">
                  <c:v>-0.00453484267314963</c:v>
                </c:pt>
                <c:pt idx="34">
                  <c:v>-0.000351732861360698</c:v>
                </c:pt>
                <c:pt idx="35">
                  <c:v>0.00204964914761807</c:v>
                </c:pt>
                <c:pt idx="36">
                  <c:v>0.00279898085577812</c:v>
                </c:pt>
                <c:pt idx="37">
                  <c:v>0.00517251884135073</c:v>
                </c:pt>
                <c:pt idx="38">
                  <c:v>-0.000722354722553109</c:v>
                </c:pt>
                <c:pt idx="39">
                  <c:v>-0.00314660249673315</c:v>
                </c:pt>
                <c:pt idx="40">
                  <c:v>0.000247703671931831</c:v>
                </c:pt>
                <c:pt idx="41">
                  <c:v>0.00314438110344706</c:v>
                </c:pt>
                <c:pt idx="42">
                  <c:v>-0.00120345451982373</c:v>
                </c:pt>
                <c:pt idx="43">
                  <c:v>-0.00415316569985036</c:v>
                </c:pt>
                <c:pt idx="44">
                  <c:v>-0.00741251843533852</c:v>
                </c:pt>
                <c:pt idx="45">
                  <c:v>-0.00690452343353398</c:v>
                </c:pt>
                <c:pt idx="46">
                  <c:v>-0.0077672859461011</c:v>
                </c:pt>
                <c:pt idx="47">
                  <c:v>-0.0111100613659043</c:v>
                </c:pt>
                <c:pt idx="48">
                  <c:v>-0.00958962724269008</c:v>
                </c:pt>
                <c:pt idx="49">
                  <c:v>-0.0124205671158238</c:v>
                </c:pt>
                <c:pt idx="50">
                  <c:v>-0.00983658236423301</c:v>
                </c:pt>
                <c:pt idx="51">
                  <c:v>-0.00892213069356895</c:v>
                </c:pt>
                <c:pt idx="52">
                  <c:v>-0.00599563701063854</c:v>
                </c:pt>
                <c:pt idx="53">
                  <c:v>-0.0095436731427716</c:v>
                </c:pt>
                <c:pt idx="54">
                  <c:v>-0.00376726036725894</c:v>
                </c:pt>
                <c:pt idx="55">
                  <c:v>-0.0082131991557941</c:v>
                </c:pt>
                <c:pt idx="56">
                  <c:v>-0.00458985115781929</c:v>
                </c:pt>
                <c:pt idx="57">
                  <c:v>-6.95303716442552E-5</c:v>
                </c:pt>
                <c:pt idx="58">
                  <c:v>-0.00479125350970932</c:v>
                </c:pt>
                <c:pt idx="59">
                  <c:v>-0.0025040360404136</c:v>
                </c:pt>
                <c:pt idx="60">
                  <c:v>-0.00531494379002872</c:v>
                </c:pt>
                <c:pt idx="61">
                  <c:v>0.000180160364311566</c:v>
                </c:pt>
                <c:pt idx="62">
                  <c:v>-0.00347888048441325</c:v>
                </c:pt>
                <c:pt idx="63">
                  <c:v>-0.00166274390077392</c:v>
                </c:pt>
                <c:pt idx="64">
                  <c:v>0.000714279281327612</c:v>
                </c:pt>
                <c:pt idx="65">
                  <c:v>0.00444576848937661</c:v>
                </c:pt>
                <c:pt idx="66">
                  <c:v>-0.000375651419245448</c:v>
                </c:pt>
                <c:pt idx="67">
                  <c:v>-0.00045299273563848</c:v>
                </c:pt>
                <c:pt idx="68">
                  <c:v>0.00399858104057615</c:v>
                </c:pt>
                <c:pt idx="69">
                  <c:v>0.00178209093974546</c:v>
                </c:pt>
                <c:pt idx="70">
                  <c:v>-0.00139134184303413</c:v>
                </c:pt>
                <c:pt idx="71">
                  <c:v>-0.00166927586550369</c:v>
                </c:pt>
                <c:pt idx="72">
                  <c:v>-0.00234482511539202</c:v>
                </c:pt>
                <c:pt idx="73">
                  <c:v>0.00114801697389699</c:v>
                </c:pt>
                <c:pt idx="74">
                  <c:v>0.00348365392597738</c:v>
                </c:pt>
                <c:pt idx="75">
                  <c:v>0.000451053739262797</c:v>
                </c:pt>
                <c:pt idx="76">
                  <c:v>0.00448861163848635</c:v>
                </c:pt>
                <c:pt idx="77">
                  <c:v>0.00678388568870258</c:v>
                </c:pt>
                <c:pt idx="78">
                  <c:v>0.00712758875795627</c:v>
                </c:pt>
                <c:pt idx="79">
                  <c:v>0.00842859199201817</c:v>
                </c:pt>
                <c:pt idx="80">
                  <c:v>0.00582739122695819</c:v>
                </c:pt>
                <c:pt idx="81">
                  <c:v>0.0055231806053927</c:v>
                </c:pt>
                <c:pt idx="82">
                  <c:v>0.00916034118837871</c:v>
                </c:pt>
                <c:pt idx="83">
                  <c:v>0.0102361018168818</c:v>
                </c:pt>
                <c:pt idx="84">
                  <c:v>0.00477554857359119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272472"/>
        <c:axId val="2083278680"/>
      </c:lineChart>
      <c:catAx>
        <c:axId val="2070272472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278680"/>
        <c:crosses val="autoZero"/>
        <c:auto val="1"/>
        <c:lblAlgn val="ctr"/>
        <c:lblOffset val="100"/>
        <c:noMultiLvlLbl val="0"/>
      </c:catAx>
      <c:valAx>
        <c:axId val="208327868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70272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'Aufgabe 6.18a'!$G$6</c:f>
              <c:strCache>
                <c:ptCount val="1"/>
                <c:pt idx="0">
                  <c:v>e2(k)</c:v>
                </c:pt>
              </c:strCache>
            </c:strRef>
          </c:tx>
          <c:val>
            <c:numRef>
              <c:f>'Aufgabe 6.18a'!$G$9:$G$93</c:f>
              <c:numCache>
                <c:formatCode>0.000</c:formatCode>
                <c:ptCount val="85"/>
                <c:pt idx="0">
                  <c:v>0.196777560833886</c:v>
                </c:pt>
                <c:pt idx="1">
                  <c:v>0.257503342748532</c:v>
                </c:pt>
                <c:pt idx="2">
                  <c:v>0.322768655727518</c:v>
                </c:pt>
                <c:pt idx="3">
                  <c:v>0.386241684054954</c:v>
                </c:pt>
                <c:pt idx="4">
                  <c:v>0.441061340274298</c:v>
                </c:pt>
                <c:pt idx="5">
                  <c:v>0.492833085513592</c:v>
                </c:pt>
                <c:pt idx="6">
                  <c:v>0.536759081885132</c:v>
                </c:pt>
                <c:pt idx="7">
                  <c:v>0.581705883902144</c:v>
                </c:pt>
                <c:pt idx="8">
                  <c:v>0.619518344887236</c:v>
                </c:pt>
                <c:pt idx="9">
                  <c:v>0.651908971246091</c:v>
                </c:pt>
                <c:pt idx="10">
                  <c:v>0.679147629071361</c:v>
                </c:pt>
                <c:pt idx="11">
                  <c:v>0.70970023257861</c:v>
                </c:pt>
                <c:pt idx="12">
                  <c:v>0.734932947062541</c:v>
                </c:pt>
                <c:pt idx="13">
                  <c:v>0.761617662022739</c:v>
                </c:pt>
                <c:pt idx="14">
                  <c:v>0.782374778677204</c:v>
                </c:pt>
                <c:pt idx="15">
                  <c:v>0.803320269107803</c:v>
                </c:pt>
                <c:pt idx="16">
                  <c:v>0.820189263221695</c:v>
                </c:pt>
                <c:pt idx="17">
                  <c:v>0.833635489017841</c:v>
                </c:pt>
                <c:pt idx="18">
                  <c:v>0.843996523478445</c:v>
                </c:pt>
                <c:pt idx="19">
                  <c:v>0.859818957211696</c:v>
                </c:pt>
                <c:pt idx="20">
                  <c:v>0.872281616973451</c:v>
                </c:pt>
                <c:pt idx="21">
                  <c:v>0.883870233899882</c:v>
                </c:pt>
                <c:pt idx="22">
                  <c:v>0.892230893454693</c:v>
                </c:pt>
                <c:pt idx="23">
                  <c:v>0.901968327161044</c:v>
                </c:pt>
                <c:pt idx="24">
                  <c:v>0.915016098428371</c:v>
                </c:pt>
                <c:pt idx="25">
                  <c:v>0.92565553353898</c:v>
                </c:pt>
                <c:pt idx="26">
                  <c:v>0.935525442577835</c:v>
                </c:pt>
                <c:pt idx="27">
                  <c:v>0.941806506166595</c:v>
                </c:pt>
                <c:pt idx="28">
                  <c:v>0.945935301255243</c:v>
                </c:pt>
                <c:pt idx="29">
                  <c:v>0.952705550737513</c:v>
                </c:pt>
                <c:pt idx="30">
                  <c:v>0.960356267783755</c:v>
                </c:pt>
                <c:pt idx="31">
                  <c:v>0.959619197024253</c:v>
                </c:pt>
                <c:pt idx="32">
                  <c:v>0.966103749641363</c:v>
                </c:pt>
                <c:pt idx="33">
                  <c:v>0.967652318382481</c:v>
                </c:pt>
                <c:pt idx="34">
                  <c:v>0.974616712088707</c:v>
                </c:pt>
                <c:pt idx="35">
                  <c:v>0.979521249602679</c:v>
                </c:pt>
                <c:pt idx="36">
                  <c:v>0.982523421265333</c:v>
                </c:pt>
                <c:pt idx="37">
                  <c:v>0.98692451520995</c:v>
                </c:pt>
                <c:pt idx="38">
                  <c:v>0.982854442009186</c:v>
                </c:pt>
                <c:pt idx="39">
                  <c:v>0.982072514561832</c:v>
                </c:pt>
                <c:pt idx="40">
                  <c:v>0.986944909024641</c:v>
                </c:pt>
                <c:pt idx="41">
                  <c:v>0.991171865920885</c:v>
                </c:pt>
                <c:pt idx="42">
                  <c:v>0.98802128181587</c:v>
                </c:pt>
                <c:pt idx="43">
                  <c:v>0.986149097002274</c:v>
                </c:pt>
                <c:pt idx="44">
                  <c:v>0.983859517996574</c:v>
                </c:pt>
                <c:pt idx="45">
                  <c:v>0.985240309355187</c:v>
                </c:pt>
                <c:pt idx="46">
                  <c:v>0.985163063563748</c:v>
                </c:pt>
                <c:pt idx="47">
                  <c:v>0.98252725319296</c:v>
                </c:pt>
                <c:pt idx="48">
                  <c:v>0.984683955860288</c:v>
                </c:pt>
                <c:pt idx="49">
                  <c:v>0.982425657676856</c:v>
                </c:pt>
                <c:pt idx="50">
                  <c:v>0.985525019949179</c:v>
                </c:pt>
                <c:pt idx="51">
                  <c:v>0.986903311388502</c:v>
                </c:pt>
                <c:pt idx="52">
                  <c:v>0.990247260863225</c:v>
                </c:pt>
                <c:pt idx="53">
                  <c:v>0.987074934943706</c:v>
                </c:pt>
                <c:pt idx="54">
                  <c:v>0.993189486910571</c:v>
                </c:pt>
                <c:pt idx="55">
                  <c:v>0.989047873394252</c:v>
                </c:pt>
                <c:pt idx="56">
                  <c:v>0.992945114137223</c:v>
                </c:pt>
                <c:pt idx="57">
                  <c:v>0.997711938393893</c:v>
                </c:pt>
                <c:pt idx="58">
                  <c:v>0.993212068379275</c:v>
                </c:pt>
                <c:pt idx="59">
                  <c:v>0.995698953659672</c:v>
                </c:pt>
                <c:pt idx="60">
                  <c:v>0.993067746940048</c:v>
                </c:pt>
                <c:pt idx="61">
                  <c:v>0.998724582021381</c:v>
                </c:pt>
                <c:pt idx="62">
                  <c:v>0.995211099006949</c:v>
                </c:pt>
                <c:pt idx="63">
                  <c:v>0.997158237641452</c:v>
                </c:pt>
                <c:pt idx="64">
                  <c:v>0.999653162669331</c:v>
                </c:pt>
                <c:pt idx="65">
                  <c:v>1.00349076353858</c:v>
                </c:pt>
                <c:pt idx="66">
                  <c:v>0.998764844125037</c:v>
                </c:pt>
                <c:pt idx="67">
                  <c:v>0.998773453254216</c:v>
                </c:pt>
                <c:pt idx="68">
                  <c:v>1.003302382431445</c:v>
                </c:pt>
                <c:pt idx="69">
                  <c:v>1.001155512191528</c:v>
                </c:pt>
                <c:pt idx="70">
                  <c:v>0.99804473728357</c:v>
                </c:pt>
                <c:pt idx="71">
                  <c:v>0.99782319534844</c:v>
                </c:pt>
                <c:pt idx="72">
                  <c:v>0.997198398977157</c:v>
                </c:pt>
                <c:pt idx="73">
                  <c:v>1.000736918657191</c:v>
                </c:pt>
                <c:pt idx="74">
                  <c:v>1.003113665440942</c:v>
                </c:pt>
                <c:pt idx="75">
                  <c:v>1.000118064102731</c:v>
                </c:pt>
                <c:pt idx="76">
                  <c:v>1.004188920965608</c:v>
                </c:pt>
                <c:pt idx="77">
                  <c:v>1.006514164083112</c:v>
                </c:pt>
                <c:pt idx="78">
                  <c:v>1.006884839312925</c:v>
                </c:pt>
                <c:pt idx="79">
                  <c:v>1.00821011749149</c:v>
                </c:pt>
                <c:pt idx="80">
                  <c:v>1.005630764176483</c:v>
                </c:pt>
                <c:pt idx="81">
                  <c:v>1.005346216259965</c:v>
                </c:pt>
                <c:pt idx="82">
                  <c:v>1.009001073277493</c:v>
                </c:pt>
                <c:pt idx="83">
                  <c:v>1.010092760697085</c:v>
                </c:pt>
                <c:pt idx="84">
                  <c:v>1.004646541565774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720088"/>
        <c:axId val="2082723032"/>
      </c:lineChart>
      <c:catAx>
        <c:axId val="208272008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723032"/>
        <c:crosses val="autoZero"/>
        <c:auto val="1"/>
        <c:lblAlgn val="ctr"/>
        <c:lblOffset val="100"/>
        <c:noMultiLvlLbl val="0"/>
      </c:catAx>
      <c:valAx>
        <c:axId val="208272303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82720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88400600021213"/>
          <c:y val="0.039568345323741"/>
          <c:w val="0.791982039769083"/>
          <c:h val="0.862062538945222"/>
        </c:manualLayout>
      </c:layout>
      <c:lineChart>
        <c:grouping val="standard"/>
        <c:varyColors val="0"/>
        <c:ser>
          <c:idx val="0"/>
          <c:order val="0"/>
          <c:tx>
            <c:strRef>
              <c:f>'Aufgabe 6.17'!$B$12</c:f>
              <c:strCache>
                <c:ptCount val="1"/>
                <c:pt idx="0">
                  <c:v> qe(k)</c:v>
                </c:pt>
              </c:strCache>
            </c:strRef>
          </c:tx>
          <c:val>
            <c:numRef>
              <c:f>'Aufgabe 6.17'!$B$14:$B$98</c:f>
              <c:numCache>
                <c:formatCode>0.00</c:formatCode>
                <c:ptCount val="85"/>
                <c:pt idx="0">
                  <c:v>1.0</c:v>
                </c:pt>
                <c:pt idx="1">
                  <c:v>0.940528634361233</c:v>
                </c:pt>
                <c:pt idx="2">
                  <c:v>0.881916008461255</c:v>
                </c:pt>
                <c:pt idx="3">
                  <c:v>0.824447289550737</c:v>
                </c:pt>
                <c:pt idx="4">
                  <c:v>0.768366167451927</c:v>
                </c:pt>
                <c:pt idx="5">
                  <c:v>0.713878177712105</c:v>
                </c:pt>
                <c:pt idx="6">
                  <c:v>0.661153881612842</c:v>
                </c:pt>
                <c:pt idx="7">
                  <c:v>0.610331899047767</c:v>
                </c:pt>
                <c:pt idx="8">
                  <c:v>0.561521791728003</c:v>
                </c:pt>
                <c:pt idx="9">
                  <c:v>0.514806795465691</c:v>
                </c:pt>
                <c:pt idx="10">
                  <c:v>0.470246401431942</c:v>
                </c:pt>
                <c:pt idx="11">
                  <c:v>0.427878787295829</c:v>
                </c:pt>
                <c:pt idx="12">
                  <c:v>0.387723100035184</c:v>
                </c:pt>
                <c:pt idx="13">
                  <c:v>0.349781592977115</c:v>
                </c:pt>
                <c:pt idx="14">
                  <c:v>0.314041620285135</c:v>
                </c:pt>
                <c:pt idx="15">
                  <c:v>0.280477492669171</c:v>
                </c:pt>
                <c:pt idx="16">
                  <c:v>0.249052198562578</c:v>
                </c:pt>
                <c:pt idx="17">
                  <c:v>0.219718995394462</c:v>
                </c:pt>
                <c:pt idx="18">
                  <c:v>0.192422875893515</c:v>
                </c:pt>
                <c:pt idx="19">
                  <c:v>0.167101914598231</c:v>
                </c:pt>
                <c:pt idx="20">
                  <c:v>0.143688499924423</c:v>
                </c:pt>
                <c:pt idx="21">
                  <c:v>0.122110457260775</c:v>
                </c:pt>
                <c:pt idx="22">
                  <c:v>0.10229206863249</c:v>
                </c:pt>
                <c:pt idx="23">
                  <c:v>0.0841549944976625</c:v>
                </c:pt>
                <c:pt idx="24">
                  <c:v>0.0676191032258035</c:v>
                </c:pt>
                <c:pt idx="25">
                  <c:v>0.052603213757916</c:v>
                </c:pt>
                <c:pt idx="26">
                  <c:v>0.0390257568671037</c:v>
                </c:pt>
                <c:pt idx="27">
                  <c:v>0.0268053603320241</c:v>
                </c:pt>
                <c:pt idx="28">
                  <c:v>0.0158613632064118</c:v>
                </c:pt>
                <c:pt idx="29">
                  <c:v>0.006114264219927</c:v>
                </c:pt>
                <c:pt idx="30">
                  <c:v>-0.00251389081807685</c:v>
                </c:pt>
                <c:pt idx="31">
                  <c:v>-0.0100991779166391</c:v>
                </c:pt>
                <c:pt idx="32">
                  <c:v>-0.0167155155943373</c:v>
                </c:pt>
                <c:pt idx="33">
                  <c:v>-0.0224344330487345</c:v>
                </c:pt>
                <c:pt idx="34">
                  <c:v>-0.0273248816888505</c:v>
                </c:pt>
                <c:pt idx="35">
                  <c:v>-0.0314530861183213</c:v>
                </c:pt>
                <c:pt idx="36">
                  <c:v>-0.0348824308615667</c:v>
                </c:pt>
                <c:pt idx="37">
                  <c:v>-0.0376733793300985</c:v>
                </c:pt>
                <c:pt idx="38">
                  <c:v>-0.0398834217297075</c:v>
                </c:pt>
                <c:pt idx="39">
                  <c:v>-0.041567048810444</c:v>
                </c:pt>
                <c:pt idx="40">
                  <c:v>-0.0427757485590416</c:v>
                </c:pt>
                <c:pt idx="41">
                  <c:v>-0.0143730011003675</c:v>
                </c:pt>
                <c:pt idx="42">
                  <c:v>0.0123984041568369</c:v>
                </c:pt>
                <c:pt idx="43">
                  <c:v>0.0375555999506941</c:v>
                </c:pt>
                <c:pt idx="44">
                  <c:v>0.0611243477870177</c:v>
                </c:pt>
                <c:pt idx="45">
                  <c:v>0.0831378413798994</c:v>
                </c:pt>
                <c:pt idx="46">
                  <c:v>0.103635603302836</c:v>
                </c:pt>
                <c:pt idx="47">
                  <c:v>0.122662471054523</c:v>
                </c:pt>
                <c:pt idx="48">
                  <c:v>0.140267668604107</c:v>
                </c:pt>
                <c:pt idx="49">
                  <c:v>0.15650395938389</c:v>
                </c:pt>
                <c:pt idx="50">
                  <c:v>0.171426876638871</c:v>
                </c:pt>
                <c:pt idx="51">
                  <c:v>0.185094027017893</c:v>
                </c:pt>
                <c:pt idx="52">
                  <c:v>0.197564463296648</c:v>
                </c:pt>
                <c:pt idx="53">
                  <c:v>0.208898122154825</c:v>
                </c:pt>
                <c:pt idx="54">
                  <c:v>0.219155322984795</c:v>
                </c:pt>
                <c:pt idx="55">
                  <c:v>0.228396323784428</c:v>
                </c:pt>
                <c:pt idx="56">
                  <c:v>0.236680930278922</c:v>
                </c:pt>
                <c:pt idx="57">
                  <c:v>0.244068154523328</c:v>
                </c:pt>
                <c:pt idx="58">
                  <c:v>0.250615919356352</c:v>
                </c:pt>
                <c:pt idx="59">
                  <c:v>0.256380805204679</c:v>
                </c:pt>
                <c:pt idx="60">
                  <c:v>0.261417835873658</c:v>
                </c:pt>
                <c:pt idx="61">
                  <c:v>0.265780300102669</c:v>
                </c:pt>
                <c:pt idx="62">
                  <c:v>0.26951960581037</c:v>
                </c:pt>
                <c:pt idx="63">
                  <c:v>0.272685164104752</c:v>
                </c:pt>
                <c:pt idx="64">
                  <c:v>0.275324300284131</c:v>
                </c:pt>
                <c:pt idx="65">
                  <c:v>0.277482189206818</c:v>
                </c:pt>
                <c:pt idx="66">
                  <c:v>0.279201812558038</c:v>
                </c:pt>
                <c:pt idx="67">
                  <c:v>0.280523935691989</c:v>
                </c:pt>
                <c:pt idx="68">
                  <c:v>0.281487101873718</c:v>
                </c:pt>
                <c:pt idx="69">
                  <c:v>0.282127641889291</c:v>
                </c:pt>
                <c:pt idx="70">
                  <c:v>0.282479697132818</c:v>
                </c:pt>
                <c:pt idx="71">
                  <c:v>0.282575254414784</c:v>
                </c:pt>
                <c:pt idx="72">
                  <c:v>0.282444190867519</c:v>
                </c:pt>
                <c:pt idx="73">
                  <c:v>0.2821143274501</c:v>
                </c:pt>
                <c:pt idx="74">
                  <c:v>0.281611489676272</c:v>
                </c:pt>
                <c:pt idx="75">
                  <c:v>0.280959574304994</c:v>
                </c:pt>
                <c:pt idx="76">
                  <c:v>0.280180620843704</c:v>
                </c:pt>
                <c:pt idx="77">
                  <c:v>0.27929488681937</c:v>
                </c:pt>
                <c:pt idx="78">
                  <c:v>0.278320925871811</c:v>
                </c:pt>
                <c:pt idx="79">
                  <c:v>0.277275667817541</c:v>
                </c:pt>
                <c:pt idx="80">
                  <c:v>0.276174499920711</c:v>
                </c:pt>
                <c:pt idx="81">
                  <c:v>0.275031348690548</c:v>
                </c:pt>
                <c:pt idx="82">
                  <c:v>0.27385876160214</c:v>
                </c:pt>
                <c:pt idx="83">
                  <c:v>0.272667988209697</c:v>
                </c:pt>
                <c:pt idx="84">
                  <c:v>0.271469060188537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6.17'!$C$12</c:f>
              <c:strCache>
                <c:ptCount val="1"/>
                <c:pt idx="0">
                  <c:v> qa(k)</c:v>
                </c:pt>
              </c:strCache>
            </c:strRef>
          </c:tx>
          <c:val>
            <c:numRef>
              <c:f>'Aufgabe 6.17'!$C$14:$C$98</c:f>
              <c:numCache>
                <c:formatCode>0.00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0.25</c:v>
                </c:pt>
                <c:pt idx="45">
                  <c:v>0.25</c:v>
                </c:pt>
                <c:pt idx="46">
                  <c:v>0.25</c:v>
                </c:pt>
                <c:pt idx="47">
                  <c:v>0.25</c:v>
                </c:pt>
                <c:pt idx="48">
                  <c:v>0.25</c:v>
                </c:pt>
                <c:pt idx="49">
                  <c:v>0.25</c:v>
                </c:pt>
                <c:pt idx="50">
                  <c:v>0.25</c:v>
                </c:pt>
                <c:pt idx="51">
                  <c:v>0.25</c:v>
                </c:pt>
                <c:pt idx="52">
                  <c:v>0.25</c:v>
                </c:pt>
                <c:pt idx="53">
                  <c:v>0.25</c:v>
                </c:pt>
                <c:pt idx="54">
                  <c:v>0.25</c:v>
                </c:pt>
                <c:pt idx="55">
                  <c:v>0.25</c:v>
                </c:pt>
                <c:pt idx="56">
                  <c:v>0.25</c:v>
                </c:pt>
                <c:pt idx="57">
                  <c:v>0.25</c:v>
                </c:pt>
                <c:pt idx="58">
                  <c:v>0.25</c:v>
                </c:pt>
                <c:pt idx="59">
                  <c:v>0.25</c:v>
                </c:pt>
                <c:pt idx="60">
                  <c:v>0.25</c:v>
                </c:pt>
                <c:pt idx="61">
                  <c:v>0.25</c:v>
                </c:pt>
                <c:pt idx="62">
                  <c:v>0.25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0.25</c:v>
                </c:pt>
                <c:pt idx="67">
                  <c:v>0.25</c:v>
                </c:pt>
                <c:pt idx="68">
                  <c:v>0.25</c:v>
                </c:pt>
                <c:pt idx="69">
                  <c:v>0.25</c:v>
                </c:pt>
                <c:pt idx="70">
                  <c:v>0.25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0.25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0.25</c:v>
                </c:pt>
                <c:pt idx="80">
                  <c:v>0.25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'Aufgabe 6.17'!$D$12</c:f>
              <c:strCache>
                <c:ptCount val="1"/>
                <c:pt idx="0">
                  <c:v> x1(k)=h1(k)</c:v>
                </c:pt>
              </c:strCache>
            </c:strRef>
          </c:tx>
          <c:val>
            <c:numRef>
              <c:f>'Aufgabe 6.17'!$D$14:$D$98</c:f>
              <c:numCache>
                <c:formatCode>0.00</c:formatCode>
                <c:ptCount val="85"/>
                <c:pt idx="0">
                  <c:v>0.852422907488987</c:v>
                </c:pt>
                <c:pt idx="1">
                  <c:v>0.899585670205127</c:v>
                </c:pt>
                <c:pt idx="2">
                  <c:v>0.941802295922838</c:v>
                </c:pt>
                <c:pt idx="3">
                  <c:v>0.979382127198864</c:v>
                </c:pt>
                <c:pt idx="4">
                  <c:v>1.012628352152199</c:v>
                </c:pt>
                <c:pt idx="5">
                  <c:v>1.041836733043999</c:v>
                </c:pt>
                <c:pt idx="6">
                  <c:v>1.067294535153223</c:v>
                </c:pt>
                <c:pt idx="7">
                  <c:v>1.089279639202188</c:v>
                </c:pt>
                <c:pt idx="8">
                  <c:v>1.108059821365139</c:v>
                </c:pt>
                <c:pt idx="9">
                  <c:v>1.123892185684709</c:v>
                </c:pt>
                <c:pt idx="10">
                  <c:v>1.137022734519012</c:v>
                </c:pt>
                <c:pt idx="11">
                  <c:v>1.14768606344008</c:v>
                </c:pt>
                <c:pt idx="12">
                  <c:v>1.156105167797142</c:v>
                </c:pt>
                <c:pt idx="13">
                  <c:v>1.162491348941269</c:v>
                </c:pt>
                <c:pt idx="14">
                  <c:v>1.167044208877012</c:v>
                </c:pt>
                <c:pt idx="15">
                  <c:v>1.169951722858655</c:v>
                </c:pt>
                <c:pt idx="16">
                  <c:v>1.17139038018042</c:v>
                </c:pt>
                <c:pt idx="17">
                  <c:v>1.171525384119108</c:v>
                </c:pt>
                <c:pt idx="18">
                  <c:v>1.170510902672232</c:v>
                </c:pt>
                <c:pt idx="19">
                  <c:v>1.16849036239301</c:v>
                </c:pt>
                <c:pt idx="20">
                  <c:v>1.165596778254533</c:v>
                </c:pt>
                <c:pt idx="21">
                  <c:v>1.161953113077982</c:v>
                </c:pt>
                <c:pt idx="22">
                  <c:v>1.157672660633369</c:v>
                </c:pt>
                <c:pt idx="23">
                  <c:v>1.152859447065648</c:v>
                </c:pt>
                <c:pt idx="24">
                  <c:v>1.147608645813918</c:v>
                </c:pt>
                <c:pt idx="25">
                  <c:v>1.14200700167706</c:v>
                </c:pt>
                <c:pt idx="26">
                  <c:v>1.136133260135706</c:v>
                </c:pt>
                <c:pt idx="27">
                  <c:v>1.130058598468419</c:v>
                </c:pt>
                <c:pt idx="28">
                  <c:v>1.123847055599872</c:v>
                </c:pt>
                <c:pt idx="29">
                  <c:v>1.117555957991461</c:v>
                </c:pt>
                <c:pt idx="30">
                  <c:v>1.111236339230804</c:v>
                </c:pt>
                <c:pt idx="31">
                  <c:v>1.104933351296981</c:v>
                </c:pt>
                <c:pt idx="32">
                  <c:v>1.098686665774029</c:v>
                </c:pt>
                <c:pt idx="33">
                  <c:v>1.092530863557063</c:v>
                </c:pt>
                <c:pt idx="34">
                  <c:v>1.086495811844601</c:v>
                </c:pt>
                <c:pt idx="35">
                  <c:v>1.080607027438173</c:v>
                </c:pt>
                <c:pt idx="36">
                  <c:v>1.074886025577191</c:v>
                </c:pt>
                <c:pt idx="37">
                  <c:v>1.069350653724493</c:v>
                </c:pt>
                <c:pt idx="38">
                  <c:v>1.064015409886933</c:v>
                </c:pt>
                <c:pt idx="39">
                  <c:v>1.058891745207011</c:v>
                </c:pt>
                <c:pt idx="40">
                  <c:v>1.052336368318046</c:v>
                </c:pt>
                <c:pt idx="41">
                  <c:v>1.047316192413772</c:v>
                </c:pt>
                <c:pt idx="42">
                  <c:v>1.043681789464542</c:v>
                </c:pt>
                <c:pt idx="43">
                  <c:v>1.04129234772867</c:v>
                </c:pt>
                <c:pt idx="44">
                  <c:v>1.040015577381677</c:v>
                </c:pt>
                <c:pt idx="45">
                  <c:v>1.039727571058016</c:v>
                </c:pt>
                <c:pt idx="46">
                  <c:v>1.040312625589649</c:v>
                </c:pt>
                <c:pt idx="47">
                  <c:v>1.041663030734769</c:v>
                </c:pt>
                <c:pt idx="48">
                  <c:v>1.043678830219005</c:v>
                </c:pt>
                <c:pt idx="49">
                  <c:v>1.04626755996138</c:v>
                </c:pt>
                <c:pt idx="50">
                  <c:v>1.049343967928484</c:v>
                </c:pt>
                <c:pt idx="51">
                  <c:v>1.052829719653277</c:v>
                </c:pt>
                <c:pt idx="52">
                  <c:v>1.056653093069484</c:v>
                </c:pt>
                <c:pt idx="53">
                  <c:v>1.060748665948942</c:v>
                </c:pt>
                <c:pt idx="54">
                  <c:v>1.065056998887128</c:v>
                </c:pt>
                <c:pt idx="55">
                  <c:v>1.069524316461165</c:v>
                </c:pt>
                <c:pt idx="56">
                  <c:v>1.074102188884583</c:v>
                </c:pt>
                <c:pt idx="57">
                  <c:v>1.078747216203334</c:v>
                </c:pt>
                <c:pt idx="58">
                  <c:v>1.083420716817631</c:v>
                </c:pt>
                <c:pt idx="59">
                  <c:v>1.088088421873282</c:v>
                </c:pt>
                <c:pt idx="60">
                  <c:v>1.092720176843856</c:v>
                </c:pt>
                <c:pt idx="61">
                  <c:v>1.097289651420284</c:v>
                </c:pt>
                <c:pt idx="62">
                  <c:v>1.101774058636826</c:v>
                </c:pt>
                <c:pt idx="63">
                  <c:v>1.106153883990805</c:v>
                </c:pt>
                <c:pt idx="64">
                  <c:v>1.110412625157367</c:v>
                </c:pt>
                <c:pt idx="65">
                  <c:v>1.114536542759025</c:v>
                </c:pt>
                <c:pt idx="66">
                  <c:v>1.11851442252199</c:v>
                </c:pt>
                <c:pt idx="67">
                  <c:v>1.122337349036571</c:v>
                </c:pt>
                <c:pt idx="68">
                  <c:v>1.125998491236401</c:v>
                </c:pt>
                <c:pt idx="69">
                  <c:v>1.129492899620152</c:v>
                </c:pt>
                <c:pt idx="70">
                  <c:v>1.132817315159006</c:v>
                </c:pt>
                <c:pt idx="71">
                  <c:v>1.135969989762673</c:v>
                </c:pt>
                <c:pt idx="72">
                  <c:v>1.13895051811549</c:v>
                </c:pt>
                <c:pt idx="73">
                  <c:v>1.141759680641437</c:v>
                </c:pt>
                <c:pt idx="74">
                  <c:v>1.144399297312041</c:v>
                </c:pt>
                <c:pt idx="75">
                  <c:v>1.146872091973508</c:v>
                </c:pt>
                <c:pt idx="76">
                  <c:v>1.149181566838412</c:v>
                </c:pt>
                <c:pt idx="77">
                  <c:v>1.151331886762301</c:v>
                </c:pt>
                <c:pt idx="78">
                  <c:v>1.153327772906066</c:v>
                </c:pt>
                <c:pt idx="79">
                  <c:v>1.155174405370356</c:v>
                </c:pt>
                <c:pt idx="80">
                  <c:v>1.156877334378297</c:v>
                </c:pt>
                <c:pt idx="81">
                  <c:v>1.158442399576625</c:v>
                </c:pt>
                <c:pt idx="82">
                  <c:v>1.159875657022884</c:v>
                </c:pt>
                <c:pt idx="83">
                  <c:v>1.161183313426926</c:v>
                </c:pt>
                <c:pt idx="84">
                  <c:v>1.162371667218415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'Aufgabe 6.17'!$E$12</c:f>
              <c:strCache>
                <c:ptCount val="1"/>
                <c:pt idx="0">
                  <c:v> x2(k)=h2(k)</c:v>
                </c:pt>
              </c:strCache>
            </c:strRef>
          </c:tx>
          <c:val>
            <c:numRef>
              <c:f>'Aufgabe 6.17'!$E$14:$E$98</c:f>
              <c:numCache>
                <c:formatCode>0.000</c:formatCode>
                <c:ptCount val="85"/>
                <c:pt idx="0">
                  <c:v>0.0594713656387665</c:v>
                </c:pt>
                <c:pt idx="1">
                  <c:v>0.118083991538745</c:v>
                </c:pt>
                <c:pt idx="2">
                  <c:v>0.175552710449263</c:v>
                </c:pt>
                <c:pt idx="3">
                  <c:v>0.231633832548073</c:v>
                </c:pt>
                <c:pt idx="4">
                  <c:v>0.286121822287895</c:v>
                </c:pt>
                <c:pt idx="5">
                  <c:v>0.338846118387158</c:v>
                </c:pt>
                <c:pt idx="6">
                  <c:v>0.389668100952233</c:v>
                </c:pt>
                <c:pt idx="7">
                  <c:v>0.438478208271997</c:v>
                </c:pt>
                <c:pt idx="8">
                  <c:v>0.485193204534309</c:v>
                </c:pt>
                <c:pt idx="9">
                  <c:v>0.529753598568058</c:v>
                </c:pt>
                <c:pt idx="10">
                  <c:v>0.572121212704171</c:v>
                </c:pt>
                <c:pt idx="11">
                  <c:v>0.612276899964816</c:v>
                </c:pt>
                <c:pt idx="12">
                  <c:v>0.650218407022885</c:v>
                </c:pt>
                <c:pt idx="13">
                  <c:v>0.685958379714865</c:v>
                </c:pt>
                <c:pt idx="14">
                  <c:v>0.719522507330829</c:v>
                </c:pt>
                <c:pt idx="15">
                  <c:v>0.750947801437421</c:v>
                </c:pt>
                <c:pt idx="16">
                  <c:v>0.780281004605538</c:v>
                </c:pt>
                <c:pt idx="17">
                  <c:v>0.807577124106484</c:v>
                </c:pt>
                <c:pt idx="18">
                  <c:v>0.832898085401769</c:v>
                </c:pt>
                <c:pt idx="19">
                  <c:v>0.856311500075577</c:v>
                </c:pt>
                <c:pt idx="20">
                  <c:v>0.877889542739225</c:v>
                </c:pt>
                <c:pt idx="21">
                  <c:v>0.89770793136751</c:v>
                </c:pt>
                <c:pt idx="22">
                  <c:v>0.915845005502337</c:v>
                </c:pt>
                <c:pt idx="23">
                  <c:v>0.932380896774196</c:v>
                </c:pt>
                <c:pt idx="24">
                  <c:v>0.947396786242084</c:v>
                </c:pt>
                <c:pt idx="25">
                  <c:v>0.960974243132896</c:v>
                </c:pt>
                <c:pt idx="26">
                  <c:v>0.973194639667976</c:v>
                </c:pt>
                <c:pt idx="27">
                  <c:v>0.984138636793588</c:v>
                </c:pt>
                <c:pt idx="28">
                  <c:v>0.993885735780073</c:v>
                </c:pt>
                <c:pt idx="29">
                  <c:v>1.002513890818077</c:v>
                </c:pt>
                <c:pt idx="30">
                  <c:v>1.01009917791664</c:v>
                </c:pt>
                <c:pt idx="31">
                  <c:v>1.016715515594337</c:v>
                </c:pt>
                <c:pt idx="32">
                  <c:v>1.022434433048734</c:v>
                </c:pt>
                <c:pt idx="33">
                  <c:v>1.02732488168885</c:v>
                </c:pt>
                <c:pt idx="34">
                  <c:v>1.031453086118321</c:v>
                </c:pt>
                <c:pt idx="35">
                  <c:v>1.034882430861567</c:v>
                </c:pt>
                <c:pt idx="36">
                  <c:v>1.037673379330099</c:v>
                </c:pt>
                <c:pt idx="37">
                  <c:v>1.039883421729707</c:v>
                </c:pt>
                <c:pt idx="38">
                  <c:v>1.041567048810444</c:v>
                </c:pt>
                <c:pt idx="39">
                  <c:v>1.042775748559042</c:v>
                </c:pt>
                <c:pt idx="40">
                  <c:v>1.014373001100368</c:v>
                </c:pt>
                <c:pt idx="41">
                  <c:v>0.987601595843163</c:v>
                </c:pt>
                <c:pt idx="42">
                  <c:v>0.962444400049306</c:v>
                </c:pt>
                <c:pt idx="43">
                  <c:v>0.938875652212982</c:v>
                </c:pt>
                <c:pt idx="44">
                  <c:v>0.916862158620101</c:v>
                </c:pt>
                <c:pt idx="45">
                  <c:v>0.896364396697164</c:v>
                </c:pt>
                <c:pt idx="46">
                  <c:v>0.877337528945477</c:v>
                </c:pt>
                <c:pt idx="47">
                  <c:v>0.859732331395893</c:v>
                </c:pt>
                <c:pt idx="48">
                  <c:v>0.84349604061611</c:v>
                </c:pt>
                <c:pt idx="49">
                  <c:v>0.828573123361129</c:v>
                </c:pt>
                <c:pt idx="50">
                  <c:v>0.814905972982107</c:v>
                </c:pt>
                <c:pt idx="51">
                  <c:v>0.802435536703352</c:v>
                </c:pt>
                <c:pt idx="52">
                  <c:v>0.791101877845175</c:v>
                </c:pt>
                <c:pt idx="53">
                  <c:v>0.780844677015205</c:v>
                </c:pt>
                <c:pt idx="54">
                  <c:v>0.771603676215572</c:v>
                </c:pt>
                <c:pt idx="55">
                  <c:v>0.763319069721078</c:v>
                </c:pt>
                <c:pt idx="56">
                  <c:v>0.755931845476672</c:v>
                </c:pt>
                <c:pt idx="57">
                  <c:v>0.749384080643648</c:v>
                </c:pt>
                <c:pt idx="58">
                  <c:v>0.743619194795321</c:v>
                </c:pt>
                <c:pt idx="59">
                  <c:v>0.738582164126342</c:v>
                </c:pt>
                <c:pt idx="60">
                  <c:v>0.734219699897331</c:v>
                </c:pt>
                <c:pt idx="61">
                  <c:v>0.73048039418963</c:v>
                </c:pt>
                <c:pt idx="62">
                  <c:v>0.727314835895248</c:v>
                </c:pt>
                <c:pt idx="63">
                  <c:v>0.724675699715869</c:v>
                </c:pt>
                <c:pt idx="64">
                  <c:v>0.722517810793182</c:v>
                </c:pt>
                <c:pt idx="65">
                  <c:v>0.720798187441962</c:v>
                </c:pt>
                <c:pt idx="66">
                  <c:v>0.719476064308011</c:v>
                </c:pt>
                <c:pt idx="67">
                  <c:v>0.718512898126282</c:v>
                </c:pt>
                <c:pt idx="68">
                  <c:v>0.717872358110709</c:v>
                </c:pt>
                <c:pt idx="69">
                  <c:v>0.717520302867182</c:v>
                </c:pt>
                <c:pt idx="70">
                  <c:v>0.717424745585216</c:v>
                </c:pt>
                <c:pt idx="71">
                  <c:v>0.717555809132481</c:v>
                </c:pt>
                <c:pt idx="72">
                  <c:v>0.7178856725499</c:v>
                </c:pt>
                <c:pt idx="73">
                  <c:v>0.718388510323728</c:v>
                </c:pt>
                <c:pt idx="74">
                  <c:v>0.719040425695006</c:v>
                </c:pt>
                <c:pt idx="75">
                  <c:v>0.719819379156296</c:v>
                </c:pt>
                <c:pt idx="76">
                  <c:v>0.72070511318063</c:v>
                </c:pt>
                <c:pt idx="77">
                  <c:v>0.721679074128188</c:v>
                </c:pt>
                <c:pt idx="78">
                  <c:v>0.722724332182459</c:v>
                </c:pt>
                <c:pt idx="79">
                  <c:v>0.723825500079289</c:v>
                </c:pt>
                <c:pt idx="80">
                  <c:v>0.724968651309452</c:v>
                </c:pt>
                <c:pt idx="81">
                  <c:v>0.72614123839786</c:v>
                </c:pt>
                <c:pt idx="82">
                  <c:v>0.727332011790303</c:v>
                </c:pt>
                <c:pt idx="83">
                  <c:v>0.728530939811463</c:v>
                </c:pt>
                <c:pt idx="84">
                  <c:v>0.729729130095669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442616"/>
        <c:axId val="2084445704"/>
      </c:lineChart>
      <c:catAx>
        <c:axId val="20844426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445704"/>
        <c:crosses val="autoZero"/>
        <c:auto val="1"/>
        <c:lblAlgn val="ctr"/>
        <c:lblOffset val="100"/>
        <c:noMultiLvlLbl val="0"/>
      </c:catAx>
      <c:valAx>
        <c:axId val="20844457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44426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6.18b'!$B$5</c:f>
              <c:strCache>
                <c:ptCount val="1"/>
                <c:pt idx="0">
                  <c:v> x(k)</c:v>
                </c:pt>
              </c:strCache>
            </c:strRef>
          </c:tx>
          <c:val>
            <c:numRef>
              <c:f>'Aufgabe 6.18b'!$B$8:$B$92</c:f>
              <c:numCache>
                <c:formatCode>0</c:formatCode>
                <c:ptCount val="8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1.0</c:v>
                </c:pt>
                <c:pt idx="34">
                  <c:v>1.0</c:v>
                </c:pt>
                <c:pt idx="35">
                  <c:v>1.0</c:v>
                </c:pt>
                <c:pt idx="36">
                  <c:v>1.0</c:v>
                </c:pt>
                <c:pt idx="37">
                  <c:v>1.0</c:v>
                </c:pt>
                <c:pt idx="38">
                  <c:v>1.0</c:v>
                </c:pt>
                <c:pt idx="39">
                  <c:v>1.0</c:v>
                </c:pt>
                <c:pt idx="40">
                  <c:v>1.0</c:v>
                </c:pt>
                <c:pt idx="41">
                  <c:v>1.0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'Aufgabe 6.18b'!$C$5</c:f>
              <c:strCache>
                <c:ptCount val="1"/>
                <c:pt idx="0">
                  <c:v> y1(k)</c:v>
                </c:pt>
              </c:strCache>
            </c:strRef>
          </c:tx>
          <c:val>
            <c:numRef>
              <c:f>'Aufgabe 6.18b'!$C$8:$C$92</c:f>
              <c:numCache>
                <c:formatCode>0.000</c:formatCode>
                <c:ptCount val="85"/>
                <c:pt idx="0">
                  <c:v>0.2</c:v>
                </c:pt>
                <c:pt idx="1">
                  <c:v>0.36</c:v>
                </c:pt>
                <c:pt idx="2">
                  <c:v>0.488</c:v>
                </c:pt>
                <c:pt idx="3">
                  <c:v>0.5904</c:v>
                </c:pt>
                <c:pt idx="4">
                  <c:v>0.67232</c:v>
                </c:pt>
                <c:pt idx="5">
                  <c:v>0.737856</c:v>
                </c:pt>
                <c:pt idx="6">
                  <c:v>0.7902848</c:v>
                </c:pt>
                <c:pt idx="7">
                  <c:v>0.83222784</c:v>
                </c:pt>
                <c:pt idx="8">
                  <c:v>0.865782272</c:v>
                </c:pt>
                <c:pt idx="9">
                  <c:v>0.8926258176</c:v>
                </c:pt>
                <c:pt idx="10">
                  <c:v>0.91410065408</c:v>
                </c:pt>
                <c:pt idx="11">
                  <c:v>0.931280523264</c:v>
                </c:pt>
                <c:pt idx="12">
                  <c:v>0.9450244186112</c:v>
                </c:pt>
                <c:pt idx="13">
                  <c:v>0.95601953488896</c:v>
                </c:pt>
                <c:pt idx="14">
                  <c:v>0.964815627911168</c:v>
                </c:pt>
                <c:pt idx="15">
                  <c:v>0.971852502328934</c:v>
                </c:pt>
                <c:pt idx="16">
                  <c:v>0.977482001863148</c:v>
                </c:pt>
                <c:pt idx="17">
                  <c:v>0.981985601490518</c:v>
                </c:pt>
                <c:pt idx="18">
                  <c:v>0.985588481192414</c:v>
                </c:pt>
                <c:pt idx="19">
                  <c:v>0.988470784953932</c:v>
                </c:pt>
                <c:pt idx="20">
                  <c:v>0.990776627963145</c:v>
                </c:pt>
                <c:pt idx="21">
                  <c:v>0.992621302370516</c:v>
                </c:pt>
                <c:pt idx="22">
                  <c:v>0.994097041896413</c:v>
                </c:pt>
                <c:pt idx="23">
                  <c:v>0.995277633517131</c:v>
                </c:pt>
                <c:pt idx="24">
                  <c:v>0.996222106813705</c:v>
                </c:pt>
                <c:pt idx="25">
                  <c:v>0.996977685450964</c:v>
                </c:pt>
                <c:pt idx="26">
                  <c:v>0.997582148360771</c:v>
                </c:pt>
                <c:pt idx="27">
                  <c:v>0.998065718688617</c:v>
                </c:pt>
                <c:pt idx="28">
                  <c:v>0.998452574950893</c:v>
                </c:pt>
                <c:pt idx="29">
                  <c:v>0.998762059960715</c:v>
                </c:pt>
                <c:pt idx="30">
                  <c:v>0.999009647968572</c:v>
                </c:pt>
                <c:pt idx="31">
                  <c:v>0.999207718374858</c:v>
                </c:pt>
                <c:pt idx="32">
                  <c:v>0.999366174699886</c:v>
                </c:pt>
                <c:pt idx="33">
                  <c:v>0.999492939759909</c:v>
                </c:pt>
                <c:pt idx="34">
                  <c:v>0.999594351807927</c:v>
                </c:pt>
                <c:pt idx="35">
                  <c:v>0.999675481446342</c:v>
                </c:pt>
                <c:pt idx="36">
                  <c:v>0.999740385157073</c:v>
                </c:pt>
                <c:pt idx="37">
                  <c:v>0.999792308125659</c:v>
                </c:pt>
                <c:pt idx="38">
                  <c:v>0.999833846500527</c:v>
                </c:pt>
                <c:pt idx="39">
                  <c:v>0.999867077200422</c:v>
                </c:pt>
                <c:pt idx="40">
                  <c:v>0.999893661760337</c:v>
                </c:pt>
                <c:pt idx="41">
                  <c:v>0.99991492940827</c:v>
                </c:pt>
                <c:pt idx="42">
                  <c:v>0.999931943526616</c:v>
                </c:pt>
                <c:pt idx="43">
                  <c:v>0.999945554821293</c:v>
                </c:pt>
                <c:pt idx="44">
                  <c:v>0.999956443857034</c:v>
                </c:pt>
                <c:pt idx="45">
                  <c:v>0.999965155085627</c:v>
                </c:pt>
                <c:pt idx="46">
                  <c:v>0.999972124068502</c:v>
                </c:pt>
                <c:pt idx="47">
                  <c:v>0.999977699254802</c:v>
                </c:pt>
                <c:pt idx="48">
                  <c:v>0.999982159403841</c:v>
                </c:pt>
                <c:pt idx="49">
                  <c:v>0.999985727523073</c:v>
                </c:pt>
                <c:pt idx="50">
                  <c:v>0.999988582018459</c:v>
                </c:pt>
                <c:pt idx="51">
                  <c:v>0.999990865614767</c:v>
                </c:pt>
                <c:pt idx="52">
                  <c:v>0.999992692491814</c:v>
                </c:pt>
                <c:pt idx="53">
                  <c:v>0.999994153993451</c:v>
                </c:pt>
                <c:pt idx="54">
                  <c:v>0.999995323194761</c:v>
                </c:pt>
                <c:pt idx="55">
                  <c:v>0.999996258555809</c:v>
                </c:pt>
                <c:pt idx="56">
                  <c:v>0.999997006844647</c:v>
                </c:pt>
                <c:pt idx="57">
                  <c:v>0.999997605475718</c:v>
                </c:pt>
                <c:pt idx="58">
                  <c:v>0.999998084380574</c:v>
                </c:pt>
                <c:pt idx="59">
                  <c:v>0.999998467504459</c:v>
                </c:pt>
                <c:pt idx="60">
                  <c:v>0.999998774003567</c:v>
                </c:pt>
                <c:pt idx="61">
                  <c:v>0.999999019202854</c:v>
                </c:pt>
                <c:pt idx="62">
                  <c:v>0.999999215362283</c:v>
                </c:pt>
                <c:pt idx="63">
                  <c:v>0.999999372289827</c:v>
                </c:pt>
                <c:pt idx="64">
                  <c:v>0.999999497831861</c:v>
                </c:pt>
                <c:pt idx="65">
                  <c:v>0.999999598265489</c:v>
                </c:pt>
                <c:pt idx="66">
                  <c:v>0.999999678612391</c:v>
                </c:pt>
                <c:pt idx="67">
                  <c:v>0.999999742889913</c:v>
                </c:pt>
                <c:pt idx="68">
                  <c:v>0.99999979431193</c:v>
                </c:pt>
                <c:pt idx="69">
                  <c:v>0.999999835449544</c:v>
                </c:pt>
                <c:pt idx="70">
                  <c:v>0.999999868359636</c:v>
                </c:pt>
                <c:pt idx="71">
                  <c:v>0.999999894687708</c:v>
                </c:pt>
                <c:pt idx="72">
                  <c:v>0.999999915750167</c:v>
                </c:pt>
                <c:pt idx="73">
                  <c:v>0.999999932600134</c:v>
                </c:pt>
                <c:pt idx="74">
                  <c:v>0.999999946080107</c:v>
                </c:pt>
                <c:pt idx="75">
                  <c:v>0.999999956864086</c:v>
                </c:pt>
                <c:pt idx="76">
                  <c:v>0.999999965491269</c:v>
                </c:pt>
                <c:pt idx="77">
                  <c:v>0.999999972393015</c:v>
                </c:pt>
                <c:pt idx="78">
                  <c:v>0.999999977914412</c:v>
                </c:pt>
                <c:pt idx="79">
                  <c:v>0.999999982331529</c:v>
                </c:pt>
                <c:pt idx="80">
                  <c:v>0.999999985865224</c:v>
                </c:pt>
                <c:pt idx="81">
                  <c:v>0.999999988692179</c:v>
                </c:pt>
                <c:pt idx="82">
                  <c:v>0.999999990953743</c:v>
                </c:pt>
                <c:pt idx="83">
                  <c:v>0.999999992762995</c:v>
                </c:pt>
                <c:pt idx="84">
                  <c:v>0.999999994210396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'Aufgabe 6.18b'!$E$5</c:f>
              <c:strCache>
                <c:ptCount val="1"/>
                <c:pt idx="0">
                  <c:v> y2#(k)</c:v>
                </c:pt>
              </c:strCache>
            </c:strRef>
          </c:tx>
          <c:val>
            <c:numRef>
              <c:f>'Aufgabe 6.18b'!$E$8:$E$92</c:f>
              <c:numCache>
                <c:formatCode>0.000</c:formatCode>
                <c:ptCount val="85"/>
                <c:pt idx="0">
                  <c:v>0.19562030769865</c:v>
                </c:pt>
                <c:pt idx="1">
                  <c:v>0.259370676382027</c:v>
                </c:pt>
                <c:pt idx="2">
                  <c:v>0.32359470726611</c:v>
                </c:pt>
                <c:pt idx="3">
                  <c:v>0.388277549036798</c:v>
                </c:pt>
                <c:pt idx="4">
                  <c:v>0.441226229068295</c:v>
                </c:pt>
                <c:pt idx="5">
                  <c:v>0.493012738225538</c:v>
                </c:pt>
                <c:pt idx="6">
                  <c:v>0.538225440967429</c:v>
                </c:pt>
                <c:pt idx="7">
                  <c:v>0.578487860453724</c:v>
                </c:pt>
                <c:pt idx="8">
                  <c:v>0.613709868819549</c:v>
                </c:pt>
                <c:pt idx="9">
                  <c:v>0.653347745047749</c:v>
                </c:pt>
                <c:pt idx="10">
                  <c:v>0.683599669443222</c:v>
                </c:pt>
                <c:pt idx="11">
                  <c:v>0.717014831243317</c:v>
                </c:pt>
                <c:pt idx="12">
                  <c:v>0.73758596515511</c:v>
                </c:pt>
                <c:pt idx="13">
                  <c:v>0.763735059625311</c:v>
                </c:pt>
                <c:pt idx="14">
                  <c:v>0.786353326042781</c:v>
                </c:pt>
                <c:pt idx="15">
                  <c:v>0.801597034767553</c:v>
                </c:pt>
                <c:pt idx="16">
                  <c:v>0.815518504271004</c:v>
                </c:pt>
                <c:pt idx="17">
                  <c:v>0.836064860284623</c:v>
                </c:pt>
                <c:pt idx="18">
                  <c:v>0.853893900724333</c:v>
                </c:pt>
                <c:pt idx="19">
                  <c:v>0.869473950937189</c:v>
                </c:pt>
                <c:pt idx="20">
                  <c:v>0.881191668823966</c:v>
                </c:pt>
                <c:pt idx="21">
                  <c:v>0.891298750309962</c:v>
                </c:pt>
                <c:pt idx="22">
                  <c:v>0.905893897895526</c:v>
                </c:pt>
                <c:pt idx="23">
                  <c:v>0.918266120653472</c:v>
                </c:pt>
                <c:pt idx="24">
                  <c:v>0.920602778416889</c:v>
                </c:pt>
                <c:pt idx="25">
                  <c:v>0.923760723439995</c:v>
                </c:pt>
                <c:pt idx="26">
                  <c:v>0.92889534280485</c:v>
                </c:pt>
                <c:pt idx="27">
                  <c:v>0.933871715627404</c:v>
                </c:pt>
                <c:pt idx="28">
                  <c:v>0.938114053554233</c:v>
                </c:pt>
                <c:pt idx="29">
                  <c:v>0.943671612226905</c:v>
                </c:pt>
                <c:pt idx="30">
                  <c:v>0.946160908865134</c:v>
                </c:pt>
                <c:pt idx="31">
                  <c:v>0.952999663641537</c:v>
                </c:pt>
                <c:pt idx="32">
                  <c:v>0.961125153605059</c:v>
                </c:pt>
                <c:pt idx="33">
                  <c:v>0.960547176786424</c:v>
                </c:pt>
                <c:pt idx="34">
                  <c:v>0.960477773168211</c:v>
                </c:pt>
                <c:pt idx="35">
                  <c:v>0.966769457597312</c:v>
                </c:pt>
                <c:pt idx="36">
                  <c:v>0.970860607511474</c:v>
                </c:pt>
                <c:pt idx="37">
                  <c:v>0.969351938113253</c:v>
                </c:pt>
                <c:pt idx="38">
                  <c:v>0.972965829189722</c:v>
                </c:pt>
                <c:pt idx="39">
                  <c:v>0.979164264450438</c:v>
                </c:pt>
                <c:pt idx="40">
                  <c:v>0.979885979169514</c:v>
                </c:pt>
                <c:pt idx="41">
                  <c:v>0.981305922428184</c:v>
                </c:pt>
                <c:pt idx="42">
                  <c:v>0.981552889339702</c:v>
                </c:pt>
                <c:pt idx="43">
                  <c:v>0.98125846890154</c:v>
                </c:pt>
                <c:pt idx="44">
                  <c:v>0.986292452111976</c:v>
                </c:pt>
                <c:pt idx="45">
                  <c:v>0.986040143652391</c:v>
                </c:pt>
                <c:pt idx="46">
                  <c:v>0.987014062355256</c:v>
                </c:pt>
                <c:pt idx="47">
                  <c:v>0.98823661201686</c:v>
                </c:pt>
                <c:pt idx="48">
                  <c:v>0.994177159833624</c:v>
                </c:pt>
                <c:pt idx="49">
                  <c:v>0.99273797373218</c:v>
                </c:pt>
                <c:pt idx="50">
                  <c:v>0.998384503438897</c:v>
                </c:pt>
                <c:pt idx="51">
                  <c:v>0.995106338748394</c:v>
                </c:pt>
                <c:pt idx="52">
                  <c:v>0.999642061703165</c:v>
                </c:pt>
                <c:pt idx="53">
                  <c:v>0.997262185464668</c:v>
                </c:pt>
                <c:pt idx="54">
                  <c:v>0.997894763979341</c:v>
                </c:pt>
                <c:pt idx="55">
                  <c:v>0.996962758069695</c:v>
                </c:pt>
                <c:pt idx="56">
                  <c:v>1.002030330171458</c:v>
                </c:pt>
                <c:pt idx="57">
                  <c:v>1.000527657266894</c:v>
                </c:pt>
                <c:pt idx="58">
                  <c:v>1.000866643458151</c:v>
                </c:pt>
                <c:pt idx="59">
                  <c:v>0.999126597779557</c:v>
                </c:pt>
                <c:pt idx="60">
                  <c:v>0.998771921085232</c:v>
                </c:pt>
                <c:pt idx="61">
                  <c:v>0.996934352785728</c:v>
                </c:pt>
                <c:pt idx="62">
                  <c:v>0.998924457134185</c:v>
                </c:pt>
                <c:pt idx="63">
                  <c:v>0.996302191096923</c:v>
                </c:pt>
                <c:pt idx="64">
                  <c:v>0.994223264240433</c:v>
                </c:pt>
                <c:pt idx="65">
                  <c:v>0.995561803047597</c:v>
                </c:pt>
                <c:pt idx="66">
                  <c:v>0.997107795551762</c:v>
                </c:pt>
                <c:pt idx="67">
                  <c:v>0.999383679293073</c:v>
                </c:pt>
                <c:pt idx="68">
                  <c:v>1.000935879346276</c:v>
                </c:pt>
                <c:pt idx="69">
                  <c:v>0.999007497245989</c:v>
                </c:pt>
                <c:pt idx="70">
                  <c:v>0.998493137241441</c:v>
                </c:pt>
                <c:pt idx="71">
                  <c:v>0.995784710896917</c:v>
                </c:pt>
                <c:pt idx="72">
                  <c:v>0.999452326596147</c:v>
                </c:pt>
                <c:pt idx="73">
                  <c:v>0.994634715119408</c:v>
                </c:pt>
                <c:pt idx="74">
                  <c:v>0.997876789109702</c:v>
                </c:pt>
                <c:pt idx="75">
                  <c:v>1.002325088779816</c:v>
                </c:pt>
                <c:pt idx="76">
                  <c:v>1.001681259849847</c:v>
                </c:pt>
                <c:pt idx="77">
                  <c:v>1.005033328322343</c:v>
                </c:pt>
                <c:pt idx="78">
                  <c:v>1.006123044631691</c:v>
                </c:pt>
                <c:pt idx="79">
                  <c:v>1.003395604182639</c:v>
                </c:pt>
                <c:pt idx="80">
                  <c:v>1.002821392303615</c:v>
                </c:pt>
                <c:pt idx="81">
                  <c:v>1.003446437844887</c:v>
                </c:pt>
                <c:pt idx="82">
                  <c:v>1.001914868430428</c:v>
                </c:pt>
                <c:pt idx="83">
                  <c:v>1.006283303801378</c:v>
                </c:pt>
                <c:pt idx="84">
                  <c:v>1.000810826450544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401752"/>
        <c:axId val="2084404728"/>
      </c:lineChart>
      <c:catAx>
        <c:axId val="2084401752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404728"/>
        <c:crosses val="autoZero"/>
        <c:auto val="1"/>
        <c:lblAlgn val="ctr"/>
        <c:lblOffset val="100"/>
        <c:noMultiLvlLbl val="0"/>
      </c:catAx>
      <c:valAx>
        <c:axId val="208440472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084401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0706436216052974"/>
          <c:y val="0.123046875"/>
        </c:manualLayout>
      </c:layout>
      <c:overlay val="0"/>
      <c:txPr>
        <a:bodyPr/>
        <a:lstStyle/>
        <a:p>
          <a:pPr>
            <a:defRPr sz="2400"/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8"/>
          <c:order val="0"/>
          <c:tx>
            <c:strRef>
              <c:f>Steuerung_2!$J$10</c:f>
              <c:strCache>
                <c:ptCount val="1"/>
                <c:pt idx="0">
                  <c:v>f [Hz]</c:v>
                </c:pt>
              </c:strCache>
            </c:strRef>
          </c:tx>
          <c:val>
            <c:numRef>
              <c:f>Steuerung_2!$J$13:$J$113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49.99424625270375</c:v>
                </c:pt>
                <c:pt idx="2">
                  <c:v>49.99489290600974</c:v>
                </c:pt>
                <c:pt idx="3">
                  <c:v>49.99546688311418</c:v>
                </c:pt>
                <c:pt idx="4">
                  <c:v>49.99597635196461</c:v>
                </c:pt>
                <c:pt idx="5">
                  <c:v>49.99642856252761</c:v>
                </c:pt>
                <c:pt idx="6">
                  <c:v>49.99682994995908</c:v>
                </c:pt>
                <c:pt idx="7">
                  <c:v>49.99718622617935</c:v>
                </c:pt>
                <c:pt idx="8">
                  <c:v>49.99750246115628</c:v>
                </c:pt>
                <c:pt idx="9">
                  <c:v>49.99778315505313</c:v>
                </c:pt>
                <c:pt idx="10">
                  <c:v>49.99803230226796</c:v>
                </c:pt>
                <c:pt idx="11">
                  <c:v>49.66108884613524</c:v>
                </c:pt>
                <c:pt idx="12">
                  <c:v>49.02484925663907</c:v>
                </c:pt>
                <c:pt idx="13">
                  <c:v>48.12295088768867</c:v>
                </c:pt>
                <c:pt idx="14">
                  <c:v>46.98525065151064</c:v>
                </c:pt>
                <c:pt idx="15">
                  <c:v>45.63824989568755</c:v>
                </c:pt>
                <c:pt idx="16">
                  <c:v>44.10547152903072</c:v>
                </c:pt>
                <c:pt idx="17">
                  <c:v>42.4077947629546</c:v>
                </c:pt>
                <c:pt idx="18">
                  <c:v>40.56375223187042</c:v>
                </c:pt>
                <c:pt idx="19">
                  <c:v>38.58979372075352</c:v>
                </c:pt>
                <c:pt idx="20">
                  <c:v>36.50052025284369</c:v>
                </c:pt>
                <c:pt idx="21">
                  <c:v>34.30889186865024</c:v>
                </c:pt>
                <c:pt idx="22">
                  <c:v>32.02641205304845</c:v>
                </c:pt>
                <c:pt idx="23">
                  <c:v>29.66329143494656</c:v>
                </c:pt>
                <c:pt idx="24">
                  <c:v>27.22859308904164</c:v>
                </c:pt>
                <c:pt idx="25">
                  <c:v>24.73036150737265</c:v>
                </c:pt>
                <c:pt idx="26">
                  <c:v>22.17573707599258</c:v>
                </c:pt>
                <c:pt idx="27">
                  <c:v>19.57105768581359</c:v>
                </c:pt>
                <c:pt idx="28">
                  <c:v>16.92194892359187</c:v>
                </c:pt>
                <c:pt idx="29">
                  <c:v>14.23340412651013</c:v>
                </c:pt>
                <c:pt idx="30">
                  <c:v>11.50985543956956</c:v>
                </c:pt>
                <c:pt idx="31">
                  <c:v>8.75523688696936</c:v>
                </c:pt>
                <c:pt idx="32">
                  <c:v>5.973040355007444</c:v>
                </c:pt>
                <c:pt idx="33">
                  <c:v>3.166365283163574</c:v>
                </c:pt>
                <c:pt idx="34">
                  <c:v>0.337962770491177</c:v>
                </c:pt>
                <c:pt idx="35">
                  <c:v>-2.509725275028921</c:v>
                </c:pt>
                <c:pt idx="36">
                  <c:v>-5.374531387060167</c:v>
                </c:pt>
                <c:pt idx="37">
                  <c:v>-8.254531696907674</c:v>
                </c:pt>
                <c:pt idx="38">
                  <c:v>-11.1480185560176</c:v>
                </c:pt>
                <c:pt idx="39">
                  <c:v>-14.0534762353845</c:v>
                </c:pt>
                <c:pt idx="40">
                  <c:v>-16.96955935605861</c:v>
                </c:pt>
                <c:pt idx="41">
                  <c:v>-19.55790914166929</c:v>
                </c:pt>
                <c:pt idx="42">
                  <c:v>-21.85535895205811</c:v>
                </c:pt>
                <c:pt idx="43">
                  <c:v>-23.89460251202787</c:v>
                </c:pt>
                <c:pt idx="44">
                  <c:v>-25.70465915747611</c:v>
                </c:pt>
                <c:pt idx="45">
                  <c:v>-27.31128679335298</c:v>
                </c:pt>
                <c:pt idx="46">
                  <c:v>-28.73734844001713</c:v>
                </c:pt>
                <c:pt idx="47">
                  <c:v>-30.00313758410624</c:v>
                </c:pt>
                <c:pt idx="48">
                  <c:v>-31.12666696380855</c:v>
                </c:pt>
                <c:pt idx="49">
                  <c:v>-32.1239248980774</c:v>
                </c:pt>
                <c:pt idx="50">
                  <c:v>-33.00910280746654</c:v>
                </c:pt>
                <c:pt idx="51">
                  <c:v>-33.79479716430815</c:v>
                </c:pt>
                <c:pt idx="52">
                  <c:v>-34.49218874607361</c:v>
                </c:pt>
                <c:pt idx="53">
                  <c:v>-35.11120174277174</c:v>
                </c:pt>
                <c:pt idx="54">
                  <c:v>-35.66064498255272</c:v>
                </c:pt>
                <c:pt idx="55">
                  <c:v>-36.14833728522055</c:v>
                </c:pt>
                <c:pt idx="56">
                  <c:v>-36.58121872748973</c:v>
                </c:pt>
                <c:pt idx="57">
                  <c:v>-36.96544940334003</c:v>
                </c:pt>
                <c:pt idx="58">
                  <c:v>-37.3064970848726</c:v>
                </c:pt>
                <c:pt idx="59">
                  <c:v>-37.60921503112022</c:v>
                </c:pt>
                <c:pt idx="60">
                  <c:v>-37.87791105206541</c:v>
                </c:pt>
                <c:pt idx="61">
                  <c:v>-38.11640881067771</c:v>
                </c:pt>
                <c:pt idx="62">
                  <c:v>-38.32810223532536</c:v>
                </c:pt>
                <c:pt idx="63">
                  <c:v>-38.51600381687401</c:v>
                </c:pt>
                <c:pt idx="64">
                  <c:v>-38.68278747776119</c:v>
                </c:pt>
                <c:pt idx="65">
                  <c:v>-38.83082662309285</c:v>
                </c:pt>
                <c:pt idx="66">
                  <c:v>-38.96222791524553</c:v>
                </c:pt>
                <c:pt idx="67">
                  <c:v>-39.07886125260173</c:v>
                </c:pt>
                <c:pt idx="68">
                  <c:v>-39.18238637902928</c:v>
                </c:pt>
                <c:pt idx="69">
                  <c:v>-39.27427650276901</c:v>
                </c:pt>
                <c:pt idx="70">
                  <c:v>-39.35583926083827</c:v>
                </c:pt>
                <c:pt idx="71">
                  <c:v>-39.42823532728291</c:v>
                </c:pt>
                <c:pt idx="72">
                  <c:v>-26.00591084446612</c:v>
                </c:pt>
                <c:pt idx="73">
                  <c:v>-14.0920972596653</c:v>
                </c:pt>
                <c:pt idx="74">
                  <c:v>-3.517255747295803</c:v>
                </c:pt>
                <c:pt idx="75">
                  <c:v>5.869098354668501</c:v>
                </c:pt>
                <c:pt idx="76">
                  <c:v>14.20053700785365</c:v>
                </c:pt>
                <c:pt idx="77">
                  <c:v>21.59562026145277</c:v>
                </c:pt>
                <c:pt idx="78">
                  <c:v>28.15958341405364</c:v>
                </c:pt>
                <c:pt idx="79">
                  <c:v>33.98583455838428</c:v>
                </c:pt>
                <c:pt idx="80">
                  <c:v>39.15728381969885</c:v>
                </c:pt>
                <c:pt idx="81">
                  <c:v>43.74752320345335</c:v>
                </c:pt>
                <c:pt idx="82">
                  <c:v>47.82187384202362</c:v>
                </c:pt>
                <c:pt idx="83">
                  <c:v>51.43831554324926</c:v>
                </c:pt>
                <c:pt idx="84">
                  <c:v>54.64831186868903</c:v>
                </c:pt>
                <c:pt idx="85">
                  <c:v>57.49754248281581</c:v>
                </c:pt>
                <c:pt idx="86">
                  <c:v>60.02655319480318</c:v>
                </c:pt>
                <c:pt idx="87">
                  <c:v>62.27133294328522</c:v>
                </c:pt>
                <c:pt idx="88">
                  <c:v>64.26382593483737</c:v>
                </c:pt>
                <c:pt idx="89">
                  <c:v>66.03238622413478</c:v>
                </c:pt>
                <c:pt idx="90">
                  <c:v>67.60218120466479</c:v>
                </c:pt>
                <c:pt idx="91">
                  <c:v>68.99554975184402</c:v>
                </c:pt>
                <c:pt idx="92">
                  <c:v>70.23232011507504</c:v>
                </c:pt>
                <c:pt idx="93">
                  <c:v>71.3300920824868</c:v>
                </c:pt>
                <c:pt idx="94">
                  <c:v>72.30448743368747</c:v>
                </c:pt>
                <c:pt idx="95">
                  <c:v>73.16937224458316</c:v>
                </c:pt>
                <c:pt idx="96">
                  <c:v>73.93705420775786</c:v>
                </c:pt>
                <c:pt idx="97">
                  <c:v>74.61845777637122</c:v>
                </c:pt>
                <c:pt idx="98">
                  <c:v>75.22327962394835</c:v>
                </c:pt>
                <c:pt idx="99">
                  <c:v>75.7601266323241</c:v>
                </c:pt>
                <c:pt idx="100">
                  <c:v>76.23663837137011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6768552"/>
        <c:axId val="2046771528"/>
      </c:lineChart>
      <c:catAx>
        <c:axId val="20467685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2046771528"/>
        <c:crosses val="autoZero"/>
        <c:auto val="1"/>
        <c:lblAlgn val="ctr"/>
        <c:lblOffset val="100"/>
        <c:noMultiLvlLbl val="0"/>
      </c:catAx>
      <c:valAx>
        <c:axId val="2046771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de-DE"/>
          </a:p>
        </c:txPr>
        <c:crossAx val="2046768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'Aufgabe 6.18b'!$F$5</c:f>
              <c:strCache>
                <c:ptCount val="1"/>
                <c:pt idx="0">
                  <c:v>e(k)</c:v>
                </c:pt>
              </c:strCache>
            </c:strRef>
          </c:tx>
          <c:val>
            <c:numRef>
              <c:f>'Aufgabe 6.18b'!$F$8:$F$92</c:f>
              <c:numCache>
                <c:formatCode>0.000</c:formatCode>
                <c:ptCount val="85"/>
                <c:pt idx="0">
                  <c:v>-0.00437969230134991</c:v>
                </c:pt>
                <c:pt idx="1">
                  <c:v>-0.000629323617973409</c:v>
                </c:pt>
                <c:pt idx="2">
                  <c:v>-0.00440529273389051</c:v>
                </c:pt>
                <c:pt idx="3">
                  <c:v>-0.000122450963202458</c:v>
                </c:pt>
                <c:pt idx="4">
                  <c:v>-0.00229377093170485</c:v>
                </c:pt>
                <c:pt idx="5">
                  <c:v>-0.0006432617744625</c:v>
                </c:pt>
                <c:pt idx="6">
                  <c:v>-0.00105135903257147</c:v>
                </c:pt>
                <c:pt idx="7">
                  <c:v>-0.00229917954627579</c:v>
                </c:pt>
                <c:pt idx="8">
                  <c:v>-0.00484744318045138</c:v>
                </c:pt>
                <c:pt idx="9">
                  <c:v>0.000423191447748827</c:v>
                </c:pt>
                <c:pt idx="10">
                  <c:v>-0.000595704636777716</c:v>
                </c:pt>
                <c:pt idx="11">
                  <c:v>0.00436607661931687</c:v>
                </c:pt>
                <c:pt idx="12">
                  <c:v>-0.000952575952090195</c:v>
                </c:pt>
                <c:pt idx="13">
                  <c:v>0.00163935127715042</c:v>
                </c:pt>
                <c:pt idx="14">
                  <c:v>0.00282290525353213</c:v>
                </c:pt>
                <c:pt idx="15">
                  <c:v>-0.00143687269866211</c:v>
                </c:pt>
                <c:pt idx="16">
                  <c:v>-0.00526166378089254</c:v>
                </c:pt>
                <c:pt idx="17">
                  <c:v>-0.000862664903516386</c:v>
                </c:pt>
                <c:pt idx="18">
                  <c:v>0.00227386376863159</c:v>
                </c:pt>
                <c:pt idx="19">
                  <c:v>0.00448516885381367</c:v>
                </c:pt>
                <c:pt idx="20">
                  <c:v>0.00403863946169569</c:v>
                </c:pt>
                <c:pt idx="21">
                  <c:v>0.0030774486118087</c:v>
                </c:pt>
                <c:pt idx="22">
                  <c:v>0.0076015536007763</c:v>
                </c:pt>
                <c:pt idx="23">
                  <c:v>0.0108101150478567</c:v>
                </c:pt>
                <c:pt idx="24">
                  <c:v>0.00480873950292138</c:v>
                </c:pt>
                <c:pt idx="25">
                  <c:v>0.000379891748259142</c:v>
                </c:pt>
                <c:pt idx="26">
                  <c:v>-0.00138872643993515</c:v>
                </c:pt>
                <c:pt idx="27">
                  <c:v>-0.00269362293759767</c:v>
                </c:pt>
                <c:pt idx="28">
                  <c:v>-0.00416662422224701</c:v>
                </c:pt>
                <c:pt idx="29">
                  <c:v>-0.0038094638507794</c:v>
                </c:pt>
                <c:pt idx="30">
                  <c:v>-0.00605201977466196</c:v>
                </c:pt>
                <c:pt idx="31">
                  <c:v>-0.00351878687806761</c:v>
                </c:pt>
                <c:pt idx="32">
                  <c:v>0.000689100325395375</c:v>
                </c:pt>
                <c:pt idx="33">
                  <c:v>-0.00345351088926704</c:v>
                </c:pt>
                <c:pt idx="34">
                  <c:v>-0.0067663823003089</c:v>
                </c:pt>
                <c:pt idx="35">
                  <c:v>-0.0034259355450732</c:v>
                </c:pt>
                <c:pt idx="36">
                  <c:v>-0.00202012254928541</c:v>
                </c:pt>
                <c:pt idx="37">
                  <c:v>-0.00597218524959364</c:v>
                </c:pt>
                <c:pt idx="38">
                  <c:v>-0.00458154250663079</c:v>
                </c:pt>
                <c:pt idx="39">
                  <c:v>-0.000406045242928976</c:v>
                </c:pt>
                <c:pt idx="40">
                  <c:v>-0.00152500575481529</c:v>
                </c:pt>
                <c:pt idx="41">
                  <c:v>-0.00177989648061572</c:v>
                </c:pt>
                <c:pt idx="42">
                  <c:v>-0.00305686427977103</c:v>
                </c:pt>
                <c:pt idx="43">
                  <c:v>-0.00473791588491901</c:v>
                </c:pt>
                <c:pt idx="44">
                  <c:v>-0.000965631079138385</c:v>
                </c:pt>
                <c:pt idx="45">
                  <c:v>-0.00236596137914624</c:v>
                </c:pt>
                <c:pt idx="46">
                  <c:v>-0.00243662998908556</c:v>
                </c:pt>
                <c:pt idx="47">
                  <c:v>-0.00216455236176638</c:v>
                </c:pt>
                <c:pt idx="48">
                  <c:v>0.00291115909628781</c:v>
                </c:pt>
                <c:pt idx="49">
                  <c:v>0.000685056704448517</c:v>
                </c:pt>
                <c:pt idx="50">
                  <c:v>0.00561556974297794</c:v>
                </c:pt>
                <c:pt idx="51">
                  <c:v>0.00168590008888547</c:v>
                </c:pt>
                <c:pt idx="52">
                  <c:v>0.00562881740596666</c:v>
                </c:pt>
                <c:pt idx="53">
                  <c:v>0.00270954616095842</c:v>
                </c:pt>
                <c:pt idx="54">
                  <c:v>0.00285132810665323</c:v>
                </c:pt>
                <c:pt idx="55">
                  <c:v>0.00147274544117371</c:v>
                </c:pt>
                <c:pt idx="56">
                  <c:v>0.00613397648137226</c:v>
                </c:pt>
                <c:pt idx="57">
                  <c:v>0.00426157305197272</c:v>
                </c:pt>
                <c:pt idx="58">
                  <c:v>0.00426414071720538</c:v>
                </c:pt>
                <c:pt idx="59">
                  <c:v>0.00221798716530885</c:v>
                </c:pt>
                <c:pt idx="60">
                  <c:v>0.00158478231973869</c:v>
                </c:pt>
                <c:pt idx="61">
                  <c:v>-0.000506219288091802</c:v>
                </c:pt>
                <c:pt idx="62">
                  <c:v>0.00125328559858007</c:v>
                </c:pt>
                <c:pt idx="63">
                  <c:v>-0.00157880333894289</c:v>
                </c:pt>
                <c:pt idx="64">
                  <c:v>-0.00384864846181998</c:v>
                </c:pt>
                <c:pt idx="65">
                  <c:v>-0.00268382655779187</c:v>
                </c:pt>
                <c:pt idx="66">
                  <c:v>-0.00129589940277464</c:v>
                </c:pt>
                <c:pt idx="67">
                  <c:v>0.000836160368904437</c:v>
                </c:pt>
                <c:pt idx="68">
                  <c:v>0.00225749471148739</c:v>
                </c:pt>
                <c:pt idx="69">
                  <c:v>0.000210037645741012</c:v>
                </c:pt>
                <c:pt idx="70">
                  <c:v>-0.000412668902236124</c:v>
                </c:pt>
                <c:pt idx="71">
                  <c:v>-0.00321967997804917</c:v>
                </c:pt>
                <c:pt idx="72">
                  <c:v>0.000358233281805731</c:v>
                </c:pt>
                <c:pt idx="73">
                  <c:v>-0.00454099861956192</c:v>
                </c:pt>
                <c:pt idx="74">
                  <c:v>-0.00137319121290735</c:v>
                </c:pt>
                <c:pt idx="75">
                  <c:v>0.00300753314783153</c:v>
                </c:pt>
                <c:pt idx="76">
                  <c:v>0.00230221731199764</c:v>
                </c:pt>
                <c:pt idx="77">
                  <c:v>0.0055983387288655</c:v>
                </c:pt>
                <c:pt idx="78">
                  <c:v>0.00663714870312348</c:v>
                </c:pt>
                <c:pt idx="79">
                  <c:v>0.00386338848043766</c:v>
                </c:pt>
                <c:pt idx="80">
                  <c:v>0.00324703014899674</c:v>
                </c:pt>
                <c:pt idx="81">
                  <c:v>0.00383372655097192</c:v>
                </c:pt>
                <c:pt idx="82">
                  <c:v>0.0022672631798345</c:v>
                </c:pt>
                <c:pt idx="83">
                  <c:v>0.00660394847151158</c:v>
                </c:pt>
                <c:pt idx="84">
                  <c:v>0.00110258166159116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369416"/>
        <c:axId val="2084372360"/>
      </c:lineChart>
      <c:catAx>
        <c:axId val="20843694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372360"/>
        <c:crosses val="autoZero"/>
        <c:auto val="1"/>
        <c:lblAlgn val="ctr"/>
        <c:lblOffset val="100"/>
        <c:noMultiLvlLbl val="0"/>
      </c:catAx>
      <c:valAx>
        <c:axId val="2084372360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84369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6.19a'!$I$13</c:f>
              <c:strCache>
                <c:ptCount val="1"/>
                <c:pt idx="0">
                  <c:v> y(k)=f(k)</c:v>
                </c:pt>
              </c:strCache>
            </c:strRef>
          </c:tx>
          <c:val>
            <c:numRef>
              <c:f>'Aufgabe 6.19a'!$I$15:$I$99</c:f>
              <c:numCache>
                <c:formatCode>0.00</c:formatCode>
                <c:ptCount val="85"/>
                <c:pt idx="0">
                  <c:v>50.00011692174985</c:v>
                </c:pt>
                <c:pt idx="1">
                  <c:v>50.00010507509977</c:v>
                </c:pt>
                <c:pt idx="2">
                  <c:v>50.00008653099956</c:v>
                </c:pt>
                <c:pt idx="3">
                  <c:v>50.00006540084279</c:v>
                </c:pt>
                <c:pt idx="4">
                  <c:v>50.00004468758082</c:v>
                </c:pt>
                <c:pt idx="5">
                  <c:v>50.00002635094092</c:v>
                </c:pt>
                <c:pt idx="6">
                  <c:v>50.0000114566058</c:v>
                </c:pt>
                <c:pt idx="7">
                  <c:v>50.00000036625219</c:v>
                </c:pt>
                <c:pt idx="8">
                  <c:v>49.99999293557402</c:v>
                </c:pt>
                <c:pt idx="9">
                  <c:v>49.99998869756458</c:v>
                </c:pt>
                <c:pt idx="10">
                  <c:v>49.99998701740108</c:v>
                </c:pt>
                <c:pt idx="11">
                  <c:v>49.99998721270437</c:v>
                </c:pt>
                <c:pt idx="12">
                  <c:v>49.99998863853048</c:v>
                </c:pt>
                <c:pt idx="13">
                  <c:v>49.99999074023876</c:v>
                </c:pt>
                <c:pt idx="14">
                  <c:v>49.99999307958759</c:v>
                </c:pt>
                <c:pt idx="15">
                  <c:v>49.99999534033785</c:v>
                </c:pt>
                <c:pt idx="16">
                  <c:v>49.99999731962718</c:v>
                </c:pt>
                <c:pt idx="17">
                  <c:v>49.99999891073196</c:v>
                </c:pt>
                <c:pt idx="18">
                  <c:v>50.00000008183439</c:v>
                </c:pt>
                <c:pt idx="19">
                  <c:v>50.00000085427779</c:v>
                </c:pt>
                <c:pt idx="20">
                  <c:v>50.00000128268363</c:v>
                </c:pt>
                <c:pt idx="21">
                  <c:v>49.69603788739747</c:v>
                </c:pt>
                <c:pt idx="22">
                  <c:v>49.42287224126235</c:v>
                </c:pt>
                <c:pt idx="23">
                  <c:v>49.1979158944914</c:v>
                </c:pt>
                <c:pt idx="24">
                  <c:v>49.02789192395262</c:v>
                </c:pt>
                <c:pt idx="25">
                  <c:v>48.91171656751114</c:v>
                </c:pt>
                <c:pt idx="26">
                  <c:v>48.84321131175928</c:v>
                </c:pt>
                <c:pt idx="27">
                  <c:v>48.81342715673232</c:v>
                </c:pt>
                <c:pt idx="28">
                  <c:v>48.8124748346964</c:v>
                </c:pt>
                <c:pt idx="29">
                  <c:v>48.83084022505041</c:v>
                </c:pt>
                <c:pt idx="30">
                  <c:v>48.86022328724232</c:v>
                </c:pt>
                <c:pt idx="31">
                  <c:v>48.8939743373525</c:v>
                </c:pt>
                <c:pt idx="32">
                  <c:v>48.92721768306185</c:v>
                </c:pt>
                <c:pt idx="33">
                  <c:v>48.95675430403517</c:v>
                </c:pt>
                <c:pt idx="34">
                  <c:v>48.98082708978662</c:v>
                </c:pt>
                <c:pt idx="35">
                  <c:v>48.99881823557762</c:v>
                </c:pt>
                <c:pt idx="36">
                  <c:v>49.01093207054168</c:v>
                </c:pt>
                <c:pt idx="37">
                  <c:v>49.01790031019077</c:v>
                </c:pt>
                <c:pt idx="38">
                  <c:v>49.02073212267407</c:v>
                </c:pt>
                <c:pt idx="39">
                  <c:v>49.02051939445418</c:v>
                </c:pt>
                <c:pt idx="40">
                  <c:v>49.0182985263072</c:v>
                </c:pt>
                <c:pt idx="41">
                  <c:v>49.01496391919819</c:v>
                </c:pt>
                <c:pt idx="42">
                  <c:v>49.0112246857871</c:v>
                </c:pt>
                <c:pt idx="43">
                  <c:v>49.00759456506307</c:v>
                </c:pt>
                <c:pt idx="44">
                  <c:v>49.00440499425894</c:v>
                </c:pt>
                <c:pt idx="45">
                  <c:v>49.0018322944906</c:v>
                </c:pt>
                <c:pt idx="46">
                  <c:v>48.99993151106515</c:v>
                </c:pt>
                <c:pt idx="47">
                  <c:v>48.99867126149478</c:v>
                </c:pt>
                <c:pt idx="48">
                  <c:v>48.99796572447264</c:v>
                </c:pt>
                <c:pt idx="49">
                  <c:v>48.99770148166217</c:v>
                </c:pt>
                <c:pt idx="50">
                  <c:v>48.99775820838714</c:v>
                </c:pt>
                <c:pt idx="51">
                  <c:v>48.99802316718348</c:v>
                </c:pt>
                <c:pt idx="52">
                  <c:v>48.99840010142185</c:v>
                </c:pt>
                <c:pt idx="53">
                  <c:v>48.99881349453176</c:v>
                </c:pt>
                <c:pt idx="54">
                  <c:v>49.30317285900383</c:v>
                </c:pt>
                <c:pt idx="55">
                  <c:v>49.57668245270505</c:v>
                </c:pt>
                <c:pt idx="56">
                  <c:v>49.80191321678769</c:v>
                </c:pt>
                <c:pt idx="57">
                  <c:v>49.97213744684841</c:v>
                </c:pt>
                <c:pt idx="58">
                  <c:v>50.08844333375351</c:v>
                </c:pt>
                <c:pt idx="59">
                  <c:v>50.15701940842906</c:v>
                </c:pt>
                <c:pt idx="60">
                  <c:v>50.18682739922924</c:v>
                </c:pt>
                <c:pt idx="61">
                  <c:v>50.1877698198693</c:v>
                </c:pt>
                <c:pt idx="62">
                  <c:v>50.16937303989455</c:v>
                </c:pt>
                <c:pt idx="63">
                  <c:v>50.13994744303216</c:v>
                </c:pt>
                <c:pt idx="64">
                  <c:v>50.1061507378815</c:v>
                </c:pt>
                <c:pt idx="65">
                  <c:v>50.07286428270773</c:v>
                </c:pt>
                <c:pt idx="66">
                  <c:v>50.04329061722268</c:v>
                </c:pt>
                <c:pt idx="67">
                  <c:v>50.01918858365504</c:v>
                </c:pt>
                <c:pt idx="68">
                  <c:v>50.00117635126827</c:v>
                </c:pt>
                <c:pt idx="69">
                  <c:v>49.98904900704087</c:v>
                </c:pt>
                <c:pt idx="70">
                  <c:v>49.98207367845794</c:v>
                </c:pt>
                <c:pt idx="71">
                  <c:v>49.97923977551966</c:v>
                </c:pt>
                <c:pt idx="72">
                  <c:v>49.97945395741116</c:v>
                </c:pt>
                <c:pt idx="73">
                  <c:v>49.9816784946931</c:v>
                </c:pt>
                <c:pt idx="74">
                  <c:v>49.98501787615152</c:v>
                </c:pt>
                <c:pt idx="75">
                  <c:v>49.98876213697894</c:v>
                </c:pt>
                <c:pt idx="76">
                  <c:v>49.9923969444468</c:v>
                </c:pt>
                <c:pt idx="77">
                  <c:v>49.99559050001331</c:v>
                </c:pt>
                <c:pt idx="78">
                  <c:v>49.99816631281557</c:v>
                </c:pt>
                <c:pt idx="79">
                  <c:v>50.00006931270638</c:v>
                </c:pt>
                <c:pt idx="80">
                  <c:v>50.0013309564548</c:v>
                </c:pt>
                <c:pt idx="81">
                  <c:v>50.00203719820369</c:v>
                </c:pt>
                <c:pt idx="82">
                  <c:v>50.00230161470299</c:v>
                </c:pt>
                <c:pt idx="83">
                  <c:v>50.00224469004318</c:v>
                </c:pt>
                <c:pt idx="84">
                  <c:v>50.00197930561789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647208"/>
        <c:axId val="2082650152"/>
      </c:lineChart>
      <c:catAx>
        <c:axId val="20826472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2650152"/>
        <c:crosses val="autoZero"/>
        <c:auto val="1"/>
        <c:lblAlgn val="ctr"/>
        <c:lblOffset val="100"/>
        <c:noMultiLvlLbl val="0"/>
      </c:catAx>
      <c:valAx>
        <c:axId val="20826501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2647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6.19a'!$K$13</c:f>
              <c:strCache>
                <c:ptCount val="1"/>
                <c:pt idx="0">
                  <c:v>ΔP/Pb</c:v>
                </c:pt>
              </c:strCache>
            </c:strRef>
          </c:tx>
          <c:val>
            <c:numRef>
              <c:f>'Aufgabe 6.19a'!$K$15:$K$99</c:f>
              <c:numCache>
                <c:formatCode>0.0%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0.01</c:v>
                </c:pt>
                <c:pt idx="43">
                  <c:v>0.01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'Aufgabe 6.19a'!$L$13</c:f>
              <c:strCache>
                <c:ptCount val="1"/>
                <c:pt idx="0">
                  <c:v>Δf/f0</c:v>
                </c:pt>
              </c:strCache>
            </c:strRef>
          </c:tx>
          <c:val>
            <c:numRef>
              <c:f>'Aufgabe 6.19a'!$L$15:$L$99</c:f>
              <c:numCache>
                <c:formatCode>0.0%</c:formatCode>
                <c:ptCount val="85"/>
                <c:pt idx="0">
                  <c:v>-2.33843499714226E-6</c:v>
                </c:pt>
                <c:pt idx="1">
                  <c:v>-2.10150199535519E-6</c:v>
                </c:pt>
                <c:pt idx="2">
                  <c:v>-1.73061999120705E-6</c:v>
                </c:pt>
                <c:pt idx="3">
                  <c:v>-1.3080168558588E-6</c:v>
                </c:pt>
                <c:pt idx="4">
                  <c:v>-8.9375161635985E-7</c:v>
                </c:pt>
                <c:pt idx="5">
                  <c:v>-5.27018818416991E-7</c:v>
                </c:pt>
                <c:pt idx="6">
                  <c:v>-2.2913211594755E-7</c:v>
                </c:pt>
                <c:pt idx="7">
                  <c:v>-7.32504389588939E-9</c:v>
                </c:pt>
                <c:pt idx="8">
                  <c:v>1.41288519586169E-7</c:v>
                </c:pt>
                <c:pt idx="9">
                  <c:v>2.26048708498183E-7</c:v>
                </c:pt>
                <c:pt idx="10">
                  <c:v>2.59651978353759E-7</c:v>
                </c:pt>
                <c:pt idx="11">
                  <c:v>2.55745912625116E-7</c:v>
                </c:pt>
                <c:pt idx="12">
                  <c:v>2.27229390361572E-7</c:v>
                </c:pt>
                <c:pt idx="13">
                  <c:v>1.85195224702284E-7</c:v>
                </c:pt>
                <c:pt idx="14">
                  <c:v>1.38408248204769E-7</c:v>
                </c:pt>
                <c:pt idx="15">
                  <c:v>9.31932429182325E-8</c:v>
                </c:pt>
                <c:pt idx="16">
                  <c:v>5.36074563228794E-8</c:v>
                </c:pt>
                <c:pt idx="17">
                  <c:v>2.17853607864527E-8</c:v>
                </c:pt>
                <c:pt idx="18">
                  <c:v>-1.63668772756864E-9</c:v>
                </c:pt>
                <c:pt idx="19">
                  <c:v>-1.7085555725771E-8</c:v>
                </c:pt>
                <c:pt idx="20">
                  <c:v>-2.56536725373735E-8</c:v>
                </c:pt>
                <c:pt idx="21">
                  <c:v>0.00607924225205067</c:v>
                </c:pt>
                <c:pt idx="22">
                  <c:v>0.0115425551747531</c:v>
                </c:pt>
                <c:pt idx="23">
                  <c:v>0.016041682110172</c:v>
                </c:pt>
                <c:pt idx="24">
                  <c:v>0.0194421615209477</c:v>
                </c:pt>
                <c:pt idx="25">
                  <c:v>0.0217656686497771</c:v>
                </c:pt>
                <c:pt idx="26">
                  <c:v>0.0231357737648145</c:v>
                </c:pt>
                <c:pt idx="27">
                  <c:v>0.0237314568653537</c:v>
                </c:pt>
                <c:pt idx="28">
                  <c:v>0.0237505033060719</c:v>
                </c:pt>
                <c:pt idx="29">
                  <c:v>0.0233831954989918</c:v>
                </c:pt>
                <c:pt idx="30">
                  <c:v>0.0227955342551536</c:v>
                </c:pt>
                <c:pt idx="31">
                  <c:v>0.0221205132529501</c:v>
                </c:pt>
                <c:pt idx="32">
                  <c:v>0.0214556463387629</c:v>
                </c:pt>
                <c:pt idx="33">
                  <c:v>0.0208649139192967</c:v>
                </c:pt>
                <c:pt idx="34">
                  <c:v>0.0203834582042676</c:v>
                </c:pt>
                <c:pt idx="35">
                  <c:v>0.0200236352884475</c:v>
                </c:pt>
                <c:pt idx="36">
                  <c:v>0.0197813585891664</c:v>
                </c:pt>
                <c:pt idx="37">
                  <c:v>0.0196419937961845</c:v>
                </c:pt>
                <c:pt idx="38">
                  <c:v>0.0195853575465185</c:v>
                </c:pt>
                <c:pt idx="39">
                  <c:v>0.0195896121109163</c:v>
                </c:pt>
                <c:pt idx="40">
                  <c:v>0.019634029473856</c:v>
                </c:pt>
                <c:pt idx="41">
                  <c:v>0.0197007216160362</c:v>
                </c:pt>
                <c:pt idx="42">
                  <c:v>0.019775506284258</c:v>
                </c:pt>
                <c:pt idx="43">
                  <c:v>0.0198481086987387</c:v>
                </c:pt>
                <c:pt idx="44">
                  <c:v>0.0199119001148212</c:v>
                </c:pt>
                <c:pt idx="45">
                  <c:v>0.0199633541101879</c:v>
                </c:pt>
                <c:pt idx="46">
                  <c:v>0.020001369778697</c:v>
                </c:pt>
                <c:pt idx="47">
                  <c:v>0.0200265747701044</c:v>
                </c:pt>
                <c:pt idx="48">
                  <c:v>0.0200406855105471</c:v>
                </c:pt>
                <c:pt idx="49">
                  <c:v>0.0200459703667566</c:v>
                </c:pt>
                <c:pt idx="50">
                  <c:v>0.0200448358322572</c:v>
                </c:pt>
                <c:pt idx="51">
                  <c:v>0.0200395366563305</c:v>
                </c:pt>
                <c:pt idx="52">
                  <c:v>0.0200319979715628</c:v>
                </c:pt>
                <c:pt idx="53">
                  <c:v>0.0200237301093647</c:v>
                </c:pt>
                <c:pt idx="54">
                  <c:v>0.0139365428199234</c:v>
                </c:pt>
                <c:pt idx="55">
                  <c:v>0.00846635094589899</c:v>
                </c:pt>
                <c:pt idx="56">
                  <c:v>0.00396173566424622</c:v>
                </c:pt>
                <c:pt idx="57">
                  <c:v>0.000557251063031714</c:v>
                </c:pt>
                <c:pt idx="58">
                  <c:v>-0.0017688666750702</c:v>
                </c:pt>
                <c:pt idx="59">
                  <c:v>-0.00314038816858115</c:v>
                </c:pt>
                <c:pt idx="60">
                  <c:v>-0.00373654798458489</c:v>
                </c:pt>
                <c:pt idx="61">
                  <c:v>-0.00375539639738605</c:v>
                </c:pt>
                <c:pt idx="62">
                  <c:v>-0.00338746079789104</c:v>
                </c:pt>
                <c:pt idx="63">
                  <c:v>-0.00279894886064326</c:v>
                </c:pt>
                <c:pt idx="64">
                  <c:v>-0.00212301475762999</c:v>
                </c:pt>
                <c:pt idx="65">
                  <c:v>-0.00145728565415453</c:v>
                </c:pt>
                <c:pt idx="66">
                  <c:v>-0.000865812344453616</c:v>
                </c:pt>
                <c:pt idx="67">
                  <c:v>-0.000383771673100739</c:v>
                </c:pt>
                <c:pt idx="68">
                  <c:v>-2.35270253654107E-5</c:v>
                </c:pt>
                <c:pt idx="69">
                  <c:v>0.000219019859182623</c:v>
                </c:pt>
                <c:pt idx="70">
                  <c:v>0.000358526430841124</c:v>
                </c:pt>
                <c:pt idx="71">
                  <c:v>0.000415204489606822</c:v>
                </c:pt>
                <c:pt idx="72">
                  <c:v>0.000410920851776808</c:v>
                </c:pt>
                <c:pt idx="73">
                  <c:v>0.000366430106138011</c:v>
                </c:pt>
                <c:pt idx="74">
                  <c:v>0.000299642476969524</c:v>
                </c:pt>
                <c:pt idx="75">
                  <c:v>0.000224757260421029</c:v>
                </c:pt>
                <c:pt idx="76">
                  <c:v>0.000152061111063944</c:v>
                </c:pt>
                <c:pt idx="77">
                  <c:v>8.81899997337143E-5</c:v>
                </c:pt>
                <c:pt idx="78">
                  <c:v>3.66737436884534E-5</c:v>
                </c:pt>
                <c:pt idx="79">
                  <c:v>-1.38625412759552E-6</c:v>
                </c:pt>
                <c:pt idx="80">
                  <c:v>-2.66191290958773E-5</c:v>
                </c:pt>
                <c:pt idx="81">
                  <c:v>-4.0743964073755E-5</c:v>
                </c:pt>
                <c:pt idx="82">
                  <c:v>-4.6032294059728E-5</c:v>
                </c:pt>
                <c:pt idx="83">
                  <c:v>-4.4893800863548E-5</c:v>
                </c:pt>
                <c:pt idx="84">
                  <c:v>-3.9586112357739E-5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238056"/>
        <c:axId val="2083223720"/>
      </c:lineChart>
      <c:catAx>
        <c:axId val="20832380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223720"/>
        <c:crosses val="autoZero"/>
        <c:auto val="1"/>
        <c:lblAlgn val="ctr"/>
        <c:lblOffset val="100"/>
        <c:noMultiLvlLbl val="0"/>
      </c:catAx>
      <c:valAx>
        <c:axId val="208322372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2083238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6.19b'!$L$13</c:f>
              <c:strCache>
                <c:ptCount val="1"/>
                <c:pt idx="0">
                  <c:v> y(k)=f(k)</c:v>
                </c:pt>
              </c:strCache>
            </c:strRef>
          </c:tx>
          <c:val>
            <c:numRef>
              <c:f>'Aufgabe 6.19b'!$L$15:$L$99</c:f>
              <c:numCache>
                <c:formatCode>0.00</c:formatCode>
                <c:ptCount val="85"/>
                <c:pt idx="0">
                  <c:v>50.00011692174985</c:v>
                </c:pt>
                <c:pt idx="1">
                  <c:v>50.00010375880532</c:v>
                </c:pt>
                <c:pt idx="2">
                  <c:v>50.00008330243677</c:v>
                </c:pt>
                <c:pt idx="3">
                  <c:v>50.00006028674497</c:v>
                </c:pt>
                <c:pt idx="4">
                  <c:v>50.00003815592337</c:v>
                </c:pt>
                <c:pt idx="5">
                  <c:v>50.00001910648305</c:v>
                </c:pt>
                <c:pt idx="6">
                  <c:v>50.00000425586565</c:v>
                </c:pt>
                <c:pt idx="7">
                  <c:v>49.99999387633255</c:v>
                </c:pt>
                <c:pt idx="8">
                  <c:v>49.99998764604074</c:v>
                </c:pt>
                <c:pt idx="9">
                  <c:v>49.99998488331039</c:v>
                </c:pt>
                <c:pt idx="10">
                  <c:v>49.99998474331337</c:v>
                </c:pt>
                <c:pt idx="11">
                  <c:v>49.99998636756596</c:v>
                </c:pt>
                <c:pt idx="12">
                  <c:v>49.99998898512807</c:v>
                </c:pt>
                <c:pt idx="13">
                  <c:v>49.99999197021378</c:v>
                </c:pt>
                <c:pt idx="14">
                  <c:v>49.99999486425695</c:v>
                </c:pt>
                <c:pt idx="15">
                  <c:v>49.99999737179637</c:v>
                </c:pt>
                <c:pt idx="16">
                  <c:v>49.9999993393701</c:v>
                </c:pt>
                <c:pt idx="17">
                  <c:v>50.00000072545902</c:v>
                </c:pt>
                <c:pt idx="18">
                  <c:v>50.00000156784679</c:v>
                </c:pt>
                <c:pt idx="19">
                  <c:v>50.00000195293187</c:v>
                </c:pt>
                <c:pt idx="20">
                  <c:v>50.00000198979595</c:v>
                </c:pt>
                <c:pt idx="21">
                  <c:v>49.83113315095868</c:v>
                </c:pt>
                <c:pt idx="22">
                  <c:v>49.68127525529123</c:v>
                </c:pt>
                <c:pt idx="23">
                  <c:v>49.56096218770051</c:v>
                </c:pt>
                <c:pt idx="24">
                  <c:v>49.47389040817865</c:v>
                </c:pt>
                <c:pt idx="25">
                  <c:v>49.41878194932826</c:v>
                </c:pt>
                <c:pt idx="26">
                  <c:v>49.39118643123597</c:v>
                </c:pt>
                <c:pt idx="27">
                  <c:v>49.38503955204501</c:v>
                </c:pt>
                <c:pt idx="28">
                  <c:v>49.39388377553866</c:v>
                </c:pt>
                <c:pt idx="29">
                  <c:v>49.41172639283008</c:v>
                </c:pt>
                <c:pt idx="30">
                  <c:v>49.43355923364971</c:v>
                </c:pt>
                <c:pt idx="31">
                  <c:v>49.45559430207248</c:v>
                </c:pt>
                <c:pt idx="32">
                  <c:v>49.47528350088153</c:v>
                </c:pt>
                <c:pt idx="33">
                  <c:v>49.4911921944722</c:v>
                </c:pt>
                <c:pt idx="34">
                  <c:v>49.5027895649564</c:v>
                </c:pt>
                <c:pt idx="35">
                  <c:v>49.51020709858672</c:v>
                </c:pt>
                <c:pt idx="36">
                  <c:v>49.51400301510654</c:v>
                </c:pt>
                <c:pt idx="37">
                  <c:v>49.51495717938068</c:v>
                </c:pt>
                <c:pt idx="38">
                  <c:v>49.51390942320923</c:v>
                </c:pt>
                <c:pt idx="39">
                  <c:v>49.51164500884676</c:v>
                </c:pt>
                <c:pt idx="40">
                  <c:v>49.50882441473858</c:v>
                </c:pt>
                <c:pt idx="41">
                  <c:v>49.5059505740595</c:v>
                </c:pt>
                <c:pt idx="42">
                  <c:v>49.50336477004338</c:v>
                </c:pt>
                <c:pt idx="43">
                  <c:v>49.50126209793989</c:v>
                </c:pt>
                <c:pt idx="44">
                  <c:v>49.49971823069627</c:v>
                </c:pt>
                <c:pt idx="45">
                  <c:v>49.49872070719982</c:v>
                </c:pt>
                <c:pt idx="46">
                  <c:v>49.49819971315857</c:v>
                </c:pt>
                <c:pt idx="47">
                  <c:v>49.49805505845737</c:v>
                </c:pt>
                <c:pt idx="48">
                  <c:v>49.49817758174458</c:v>
                </c:pt>
                <c:pt idx="49">
                  <c:v>49.49846443013021</c:v>
                </c:pt>
                <c:pt idx="50">
                  <c:v>49.49882853545038</c:v>
                </c:pt>
                <c:pt idx="51">
                  <c:v>49.49920315474688</c:v>
                </c:pt>
                <c:pt idx="52">
                  <c:v>49.49954260906035</c:v>
                </c:pt>
                <c:pt idx="53">
                  <c:v>49.49982040459311</c:v>
                </c:pt>
                <c:pt idx="54">
                  <c:v>49.66889445970685</c:v>
                </c:pt>
                <c:pt idx="55">
                  <c:v>49.8188860578416</c:v>
                </c:pt>
                <c:pt idx="56">
                  <c:v>49.93927009992434</c:v>
                </c:pt>
                <c:pt idx="57">
                  <c:v>50.02636304504411</c:v>
                </c:pt>
                <c:pt idx="58">
                  <c:v>50.0814570807592</c:v>
                </c:pt>
                <c:pt idx="59">
                  <c:v>50.10901607363751</c:v>
                </c:pt>
                <c:pt idx="60">
                  <c:v>50.11511580487083</c:v>
                </c:pt>
                <c:pt idx="61">
                  <c:v>50.10622265946478</c:v>
                </c:pt>
                <c:pt idx="62">
                  <c:v>50.08833544520894</c:v>
                </c:pt>
                <c:pt idx="63">
                  <c:v>50.06646591140934</c:v>
                </c:pt>
                <c:pt idx="64">
                  <c:v>50.04440355019198</c:v>
                </c:pt>
                <c:pt idx="65">
                  <c:v>50.02469639797665</c:v>
                </c:pt>
                <c:pt idx="66">
                  <c:v>50.00877799841677</c:v>
                </c:pt>
                <c:pt idx="67">
                  <c:v>49.99717751294396</c:v>
                </c:pt>
                <c:pt idx="68">
                  <c:v>49.98976160899468</c:v>
                </c:pt>
                <c:pt idx="69">
                  <c:v>49.98597030180099</c:v>
                </c:pt>
                <c:pt idx="70">
                  <c:v>49.98502221436927</c:v>
                </c:pt>
                <c:pt idx="71">
                  <c:v>49.98607634160195</c:v>
                </c:pt>
                <c:pt idx="72">
                  <c:v>49.98834660592321</c:v>
                </c:pt>
                <c:pt idx="73">
                  <c:v>49.9911720440055</c:v>
                </c:pt>
                <c:pt idx="74">
                  <c:v>49.99404951267203</c:v>
                </c:pt>
                <c:pt idx="75">
                  <c:v>49.9966377255823</c:v>
                </c:pt>
                <c:pt idx="76">
                  <c:v>49.99874172265994</c:v>
                </c:pt>
                <c:pt idx="77">
                  <c:v>50.00028604309998</c:v>
                </c:pt>
                <c:pt idx="78">
                  <c:v>50.00128338758727</c:v>
                </c:pt>
                <c:pt idx="79">
                  <c:v>50.00180380130166</c:v>
                </c:pt>
                <c:pt idx="80">
                  <c:v>50.00194767346354</c:v>
                </c:pt>
                <c:pt idx="81">
                  <c:v>50.00182432092627</c:v>
                </c:pt>
                <c:pt idx="82">
                  <c:v>50.00153670550633</c:v>
                </c:pt>
                <c:pt idx="83">
                  <c:v>50.00117196098101</c:v>
                </c:pt>
                <c:pt idx="84">
                  <c:v>50.00079685965994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387304"/>
        <c:axId val="2081652856"/>
      </c:lineChart>
      <c:catAx>
        <c:axId val="208338730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1652856"/>
        <c:crosses val="autoZero"/>
        <c:auto val="1"/>
        <c:lblAlgn val="ctr"/>
        <c:lblOffset val="100"/>
        <c:noMultiLvlLbl val="0"/>
      </c:catAx>
      <c:valAx>
        <c:axId val="20816528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83387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6.19b'!$N$13</c:f>
              <c:strCache>
                <c:ptCount val="1"/>
                <c:pt idx="0">
                  <c:v>ΔP/Pb</c:v>
                </c:pt>
              </c:strCache>
            </c:strRef>
          </c:tx>
          <c:val>
            <c:numRef>
              <c:f>'Aufgabe 6.19b'!$N$15:$N$99</c:f>
              <c:numCache>
                <c:formatCode>0.0%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0.006</c:v>
                </c:pt>
                <c:pt idx="22">
                  <c:v>0.006</c:v>
                </c:pt>
                <c:pt idx="23">
                  <c:v>0.006</c:v>
                </c:pt>
                <c:pt idx="24">
                  <c:v>0.006</c:v>
                </c:pt>
                <c:pt idx="25">
                  <c:v>0.006</c:v>
                </c:pt>
                <c:pt idx="26">
                  <c:v>0.006</c:v>
                </c:pt>
                <c:pt idx="27">
                  <c:v>0.006</c:v>
                </c:pt>
                <c:pt idx="28">
                  <c:v>0.006</c:v>
                </c:pt>
                <c:pt idx="29">
                  <c:v>0.006</c:v>
                </c:pt>
                <c:pt idx="30">
                  <c:v>0.006</c:v>
                </c:pt>
                <c:pt idx="31">
                  <c:v>0.006</c:v>
                </c:pt>
                <c:pt idx="32">
                  <c:v>0.006</c:v>
                </c:pt>
                <c:pt idx="33">
                  <c:v>0.006</c:v>
                </c:pt>
                <c:pt idx="34">
                  <c:v>0.006</c:v>
                </c:pt>
                <c:pt idx="35">
                  <c:v>0.006</c:v>
                </c:pt>
                <c:pt idx="36">
                  <c:v>0.006</c:v>
                </c:pt>
                <c:pt idx="37">
                  <c:v>0.006</c:v>
                </c:pt>
                <c:pt idx="38">
                  <c:v>0.006</c:v>
                </c:pt>
                <c:pt idx="39">
                  <c:v>0.006</c:v>
                </c:pt>
                <c:pt idx="40">
                  <c:v>0.006</c:v>
                </c:pt>
                <c:pt idx="41">
                  <c:v>0.006</c:v>
                </c:pt>
                <c:pt idx="42">
                  <c:v>0.006</c:v>
                </c:pt>
                <c:pt idx="43">
                  <c:v>0.006</c:v>
                </c:pt>
                <c:pt idx="44">
                  <c:v>0.006</c:v>
                </c:pt>
                <c:pt idx="45">
                  <c:v>0.006</c:v>
                </c:pt>
                <c:pt idx="46">
                  <c:v>0.006</c:v>
                </c:pt>
                <c:pt idx="47">
                  <c:v>0.006</c:v>
                </c:pt>
                <c:pt idx="48">
                  <c:v>0.006</c:v>
                </c:pt>
                <c:pt idx="49">
                  <c:v>0.006</c:v>
                </c:pt>
                <c:pt idx="50">
                  <c:v>0.006</c:v>
                </c:pt>
                <c:pt idx="51">
                  <c:v>0.006</c:v>
                </c:pt>
                <c:pt idx="52">
                  <c:v>0.006</c:v>
                </c:pt>
                <c:pt idx="53">
                  <c:v>0.006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'Aufgabe 6.19b'!$O$13</c:f>
              <c:strCache>
                <c:ptCount val="1"/>
                <c:pt idx="0">
                  <c:v>Δf/f0</c:v>
                </c:pt>
              </c:strCache>
            </c:strRef>
          </c:tx>
          <c:val>
            <c:numRef>
              <c:f>'Aufgabe 6.19b'!$O$15:$O$99</c:f>
              <c:numCache>
                <c:formatCode>0.0%</c:formatCode>
                <c:ptCount val="85"/>
                <c:pt idx="0">
                  <c:v>-2.33843499714226E-6</c:v>
                </c:pt>
                <c:pt idx="1">
                  <c:v>-2.0751761063309E-6</c:v>
                </c:pt>
                <c:pt idx="2">
                  <c:v>-1.66604873541587E-6</c:v>
                </c:pt>
                <c:pt idx="3">
                  <c:v>-1.20573489937215E-6</c:v>
                </c:pt>
                <c:pt idx="4">
                  <c:v>-7.63118467403956E-7</c:v>
                </c:pt>
                <c:pt idx="5">
                  <c:v>-3.82129661034014E-7</c:v>
                </c:pt>
                <c:pt idx="6">
                  <c:v>-8.5117313091132E-8</c:v>
                </c:pt>
                <c:pt idx="7">
                  <c:v>1.2247334908011E-7</c:v>
                </c:pt>
                <c:pt idx="8">
                  <c:v>2.47079185129451E-7</c:v>
                </c:pt>
                <c:pt idx="9">
                  <c:v>3.023337922059E-7</c:v>
                </c:pt>
                <c:pt idx="10">
                  <c:v>3.05133732609875E-7</c:v>
                </c:pt>
                <c:pt idx="11">
                  <c:v>2.72648680805787E-7</c:v>
                </c:pt>
                <c:pt idx="12">
                  <c:v>2.20297438460193E-7</c:v>
                </c:pt>
                <c:pt idx="13">
                  <c:v>1.6059572445215E-7</c:v>
                </c:pt>
                <c:pt idx="14">
                  <c:v>1.02714860901187E-7</c:v>
                </c:pt>
                <c:pt idx="15">
                  <c:v>5.25640726323218E-8</c:v>
                </c:pt>
                <c:pt idx="16">
                  <c:v>1.32125981622266E-8</c:v>
                </c:pt>
                <c:pt idx="17">
                  <c:v>-1.45091803460673E-8</c:v>
                </c:pt>
                <c:pt idx="18">
                  <c:v>-3.13569357501819E-8</c:v>
                </c:pt>
                <c:pt idx="19">
                  <c:v>-3.90586373555379E-8</c:v>
                </c:pt>
                <c:pt idx="20">
                  <c:v>-3.97959189513131E-8</c:v>
                </c:pt>
                <c:pt idx="21">
                  <c:v>0.0033773369808263</c:v>
                </c:pt>
                <c:pt idx="22">
                  <c:v>0.00637449489417534</c:v>
                </c:pt>
                <c:pt idx="23">
                  <c:v>0.00878075624598978</c:v>
                </c:pt>
                <c:pt idx="24">
                  <c:v>0.0105221918364269</c:v>
                </c:pt>
                <c:pt idx="25">
                  <c:v>0.0116243610134349</c:v>
                </c:pt>
                <c:pt idx="26">
                  <c:v>0.0121762713752807</c:v>
                </c:pt>
                <c:pt idx="27">
                  <c:v>0.0122992089590997</c:v>
                </c:pt>
                <c:pt idx="28">
                  <c:v>0.0121223244892268</c:v>
                </c:pt>
                <c:pt idx="29">
                  <c:v>0.0117654721433985</c:v>
                </c:pt>
                <c:pt idx="30">
                  <c:v>0.0113288153270058</c:v>
                </c:pt>
                <c:pt idx="31">
                  <c:v>0.0108881139585503</c:v>
                </c:pt>
                <c:pt idx="32">
                  <c:v>0.0104943299823694</c:v>
                </c:pt>
                <c:pt idx="33">
                  <c:v>0.0101761561105559</c:v>
                </c:pt>
                <c:pt idx="34">
                  <c:v>0.00994420870087196</c:v>
                </c:pt>
                <c:pt idx="35">
                  <c:v>0.00979585802826562</c:v>
                </c:pt>
                <c:pt idx="36">
                  <c:v>0.00971993969786922</c:v>
                </c:pt>
                <c:pt idx="37">
                  <c:v>0.0097008564123864</c:v>
                </c:pt>
                <c:pt idx="38">
                  <c:v>0.00972181153581544</c:v>
                </c:pt>
                <c:pt idx="39">
                  <c:v>0.00976709982306474</c:v>
                </c:pt>
                <c:pt idx="40">
                  <c:v>0.00982351170522832</c:v>
                </c:pt>
                <c:pt idx="41">
                  <c:v>0.00988098851881005</c:v>
                </c:pt>
                <c:pt idx="42">
                  <c:v>0.00993270459913233</c:v>
                </c:pt>
                <c:pt idx="43">
                  <c:v>0.00997475804120227</c:v>
                </c:pt>
                <c:pt idx="44">
                  <c:v>0.0100056353860745</c:v>
                </c:pt>
                <c:pt idx="45">
                  <c:v>0.0100255858560034</c:v>
                </c:pt>
                <c:pt idx="46">
                  <c:v>0.0100360057368285</c:v>
                </c:pt>
                <c:pt idx="47">
                  <c:v>0.0100388988308525</c:v>
                </c:pt>
                <c:pt idx="48">
                  <c:v>0.0100364483651083</c:v>
                </c:pt>
                <c:pt idx="49">
                  <c:v>0.0100307113973957</c:v>
                </c:pt>
                <c:pt idx="50">
                  <c:v>0.0100234292909924</c:v>
                </c:pt>
                <c:pt idx="51">
                  <c:v>0.0100159369050624</c:v>
                </c:pt>
                <c:pt idx="52">
                  <c:v>0.010009147818793</c:v>
                </c:pt>
                <c:pt idx="53">
                  <c:v>0.0100035919081378</c:v>
                </c:pt>
                <c:pt idx="54">
                  <c:v>0.00662211080586303</c:v>
                </c:pt>
                <c:pt idx="55">
                  <c:v>0.00362227884316795</c:v>
                </c:pt>
                <c:pt idx="56">
                  <c:v>0.00121459800151314</c:v>
                </c:pt>
                <c:pt idx="57">
                  <c:v>-0.000527260900882282</c:v>
                </c:pt>
                <c:pt idx="58">
                  <c:v>-0.00162914161518401</c:v>
                </c:pt>
                <c:pt idx="59">
                  <c:v>-0.00218032147275025</c:v>
                </c:pt>
                <c:pt idx="60">
                  <c:v>-0.00230231609741665</c:v>
                </c:pt>
                <c:pt idx="61">
                  <c:v>-0.00212445318929554</c:v>
                </c:pt>
                <c:pt idx="62">
                  <c:v>-0.00176670890417881</c:v>
                </c:pt>
                <c:pt idx="63">
                  <c:v>-0.00132931822818676</c:v>
                </c:pt>
                <c:pt idx="64">
                  <c:v>-0.000888071003839599</c:v>
                </c:pt>
                <c:pt idx="65">
                  <c:v>-0.000493927959533096</c:v>
                </c:pt>
                <c:pt idx="66">
                  <c:v>-0.000175559968335364</c:v>
                </c:pt>
                <c:pt idx="67">
                  <c:v>5.64497411207299E-5</c:v>
                </c:pt>
                <c:pt idx="68">
                  <c:v>0.000204767820106468</c:v>
                </c:pt>
                <c:pt idx="69">
                  <c:v>0.000280593963980209</c:v>
                </c:pt>
                <c:pt idx="70">
                  <c:v>0.000299555712614676</c:v>
                </c:pt>
                <c:pt idx="71">
                  <c:v>0.000278473167960982</c:v>
                </c:pt>
                <c:pt idx="72">
                  <c:v>0.00023306788153576</c:v>
                </c:pt>
                <c:pt idx="73">
                  <c:v>0.000176559119889958</c:v>
                </c:pt>
                <c:pt idx="74">
                  <c:v>0.0001190097465593</c:v>
                </c:pt>
                <c:pt idx="75">
                  <c:v>6.72454883540752E-5</c:v>
                </c:pt>
                <c:pt idx="76">
                  <c:v>2.51655468011336E-5</c:v>
                </c:pt>
                <c:pt idx="77">
                  <c:v>-5.72086199966293E-6</c:v>
                </c:pt>
                <c:pt idx="78">
                  <c:v>-2.56677517454307E-5</c:v>
                </c:pt>
                <c:pt idx="79">
                  <c:v>-3.60760260332427E-5</c:v>
                </c:pt>
                <c:pt idx="80">
                  <c:v>-3.89534692708082E-5</c:v>
                </c:pt>
                <c:pt idx="81">
                  <c:v>-3.64864185254987E-5</c:v>
                </c:pt>
                <c:pt idx="82">
                  <c:v>-3.07341101265024E-5</c:v>
                </c:pt>
                <c:pt idx="83">
                  <c:v>-2.34392196202293E-5</c:v>
                </c:pt>
                <c:pt idx="84">
                  <c:v>-1.59371931987096E-5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180456"/>
        <c:axId val="2083183432"/>
      </c:lineChart>
      <c:catAx>
        <c:axId val="20831804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183432"/>
        <c:crosses val="autoZero"/>
        <c:auto val="1"/>
        <c:lblAlgn val="ctr"/>
        <c:lblOffset val="100"/>
        <c:noMultiLvlLbl val="0"/>
      </c:catAx>
      <c:valAx>
        <c:axId val="208318343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2083180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Regelung!$B$12</c:f>
              <c:strCache>
                <c:ptCount val="1"/>
                <c:pt idx="0">
                  <c:v>ML/MN</c:v>
                </c:pt>
              </c:strCache>
            </c:strRef>
          </c:tx>
          <c:val>
            <c:numRef>
              <c:f>Regelung!$B$13:$B$113</c:f>
              <c:numCache>
                <c:formatCode>General</c:formatCode>
                <c:ptCount val="101"/>
                <c:pt idx="0">
                  <c:v>0.0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Regelung!$D$12</c:f>
              <c:strCache>
                <c:ptCount val="1"/>
                <c:pt idx="0">
                  <c:v>e(k)</c:v>
                </c:pt>
              </c:strCache>
            </c:strRef>
          </c:tx>
          <c:val>
            <c:numRef>
              <c:f>Regelung!$D$13:$D$113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0.853895339072504</c:v>
                </c:pt>
                <c:pt idx="2">
                  <c:v>0.317307812497199</c:v>
                </c:pt>
                <c:pt idx="3">
                  <c:v>0.3040146479331</c:v>
                </c:pt>
                <c:pt idx="4">
                  <c:v>0.14525656345052</c:v>
                </c:pt>
                <c:pt idx="5">
                  <c:v>0.0682075389394223</c:v>
                </c:pt>
                <c:pt idx="6">
                  <c:v>-0.0102063379452969</c:v>
                </c:pt>
                <c:pt idx="7">
                  <c:v>-0.0650635078456742</c:v>
                </c:pt>
                <c:pt idx="8">
                  <c:v>-0.108489922582137</c:v>
                </c:pt>
                <c:pt idx="9">
                  <c:v>-0.139383654004778</c:v>
                </c:pt>
                <c:pt idx="10">
                  <c:v>-0.160870792125651</c:v>
                </c:pt>
                <c:pt idx="11">
                  <c:v>-0.174277249488245</c:v>
                </c:pt>
                <c:pt idx="12">
                  <c:v>-0.181245021087883</c:v>
                </c:pt>
                <c:pt idx="13">
                  <c:v>-0.183024709978407</c:v>
                </c:pt>
                <c:pt idx="14">
                  <c:v>-0.180746991177372</c:v>
                </c:pt>
                <c:pt idx="15">
                  <c:v>-0.17535393545313</c:v>
                </c:pt>
                <c:pt idx="16">
                  <c:v>-0.167647234761727</c:v>
                </c:pt>
                <c:pt idx="17">
                  <c:v>-0.158294590144306</c:v>
                </c:pt>
                <c:pt idx="18">
                  <c:v>-0.147849132090704</c:v>
                </c:pt>
                <c:pt idx="19">
                  <c:v>-0.136762741153495</c:v>
                </c:pt>
                <c:pt idx="20">
                  <c:v>-0.125399852481736</c:v>
                </c:pt>
                <c:pt idx="21">
                  <c:v>-0.114049454692357</c:v>
                </c:pt>
                <c:pt idx="22">
                  <c:v>-0.102936104635833</c:v>
                </c:pt>
                <c:pt idx="23">
                  <c:v>-0.0922297269180003</c:v>
                </c:pt>
                <c:pt idx="24">
                  <c:v>-0.0820543513047473</c:v>
                </c:pt>
                <c:pt idx="25">
                  <c:v>-0.072495821391478</c:v>
                </c:pt>
                <c:pt idx="26">
                  <c:v>-0.0636085582119781</c:v>
                </c:pt>
                <c:pt idx="27">
                  <c:v>-0.0554214499365485</c:v>
                </c:pt>
                <c:pt idx="28">
                  <c:v>-0.0479429449690695</c:v>
                </c:pt>
                <c:pt idx="29">
                  <c:v>-0.0411654229874316</c:v>
                </c:pt>
                <c:pt idx="30">
                  <c:v>-0.0350689169112032</c:v>
                </c:pt>
                <c:pt idx="31">
                  <c:v>-0.0296242553823264</c:v>
                </c:pt>
                <c:pt idx="32">
                  <c:v>-0.0247956915581858</c:v>
                </c:pt>
                <c:pt idx="33">
                  <c:v>-0.0205430796663121</c:v>
                </c:pt>
                <c:pt idx="34">
                  <c:v>-0.0168236561856053</c:v>
                </c:pt>
                <c:pt idx="35">
                  <c:v>-0.0135934778035245</c:v>
                </c:pt>
                <c:pt idx="36">
                  <c:v>-0.0108085635898939</c:v>
                </c:pt>
                <c:pt idx="37">
                  <c:v>-0.00842578421369065</c:v>
                </c:pt>
                <c:pt idx="38">
                  <c:v>-0.006403536582593</c:v>
                </c:pt>
                <c:pt idx="39">
                  <c:v>-0.00470223805735062</c:v>
                </c:pt>
                <c:pt idx="40">
                  <c:v>-0.0032846704204735</c:v>
                </c:pt>
                <c:pt idx="41">
                  <c:v>-0.00211620008414093</c:v>
                </c:pt>
                <c:pt idx="42">
                  <c:v>0.0325515625961812</c:v>
                </c:pt>
                <c:pt idx="43">
                  <c:v>0.0471752426211971</c:v>
                </c:pt>
                <c:pt idx="44">
                  <c:v>0.0616598053933349</c:v>
                </c:pt>
                <c:pt idx="45">
                  <c:v>0.0702862079307544</c:v>
                </c:pt>
                <c:pt idx="46">
                  <c:v>0.0760761849378828</c:v>
                </c:pt>
                <c:pt idx="47">
                  <c:v>0.0788873347883841</c:v>
                </c:pt>
                <c:pt idx="48">
                  <c:v>0.079552683158098</c:v>
                </c:pt>
                <c:pt idx="49">
                  <c:v>0.0784566132726381</c:v>
                </c:pt>
                <c:pt idx="50">
                  <c:v>0.0760397121093326</c:v>
                </c:pt>
                <c:pt idx="51">
                  <c:v>0.0726342900953618</c:v>
                </c:pt>
                <c:pt idx="52">
                  <c:v>0.0685314226084409</c:v>
                </c:pt>
                <c:pt idx="53">
                  <c:v>0.0639670648008244</c:v>
                </c:pt>
                <c:pt idx="54">
                  <c:v>0.0591355390568775</c:v>
                </c:pt>
                <c:pt idx="55">
                  <c:v>0.0541928209909829</c:v>
                </c:pt>
                <c:pt idx="56">
                  <c:v>0.0492626512369734</c:v>
                </c:pt>
                <c:pt idx="57">
                  <c:v>0.0444409685897696</c:v>
                </c:pt>
                <c:pt idx="58">
                  <c:v>0.0398002504298785</c:v>
                </c:pt>
                <c:pt idx="59">
                  <c:v>0.0353932426728138</c:v>
                </c:pt>
                <c:pt idx="60">
                  <c:v>0.031256296677124</c:v>
                </c:pt>
                <c:pt idx="61">
                  <c:v>0.0274122793056417</c:v>
                </c:pt>
                <c:pt idx="62">
                  <c:v>0.0238731114933818</c:v>
                </c:pt>
                <c:pt idx="63">
                  <c:v>0.0206419604721138</c:v>
                </c:pt>
                <c:pt idx="64">
                  <c:v>0.0177151209413534</c:v>
                </c:pt>
                <c:pt idx="65">
                  <c:v>0.0150836158186312</c:v>
                </c:pt>
                <c:pt idx="66">
                  <c:v>0.0127345470706236</c:v>
                </c:pt>
                <c:pt idx="67">
                  <c:v>0.010652224990413</c:v>
                </c:pt>
                <c:pt idx="68">
                  <c:v>0.00881910254978462</c:v>
                </c:pt>
                <c:pt idx="69">
                  <c:v>0.00721653940034775</c:v>
                </c:pt>
                <c:pt idx="70">
                  <c:v>0.00582541806583034</c:v>
                </c:pt>
                <c:pt idx="71">
                  <c:v>0.00462663281561042</c:v>
                </c:pt>
                <c:pt idx="72">
                  <c:v>0.00360146970993355</c:v>
                </c:pt>
                <c:pt idx="73">
                  <c:v>0.00273189437897751</c:v>
                </c:pt>
                <c:pt idx="74">
                  <c:v>0.00200076226714251</c:v>
                </c:pt>
                <c:pt idx="75">
                  <c:v>0.00139196435447593</c:v>
                </c:pt>
                <c:pt idx="76">
                  <c:v>0.000890519769121965</c:v>
                </c:pt>
                <c:pt idx="77">
                  <c:v>0.000482625232996421</c:v>
                </c:pt>
                <c:pt idx="78">
                  <c:v>0.000155669938984526</c:v>
                </c:pt>
                <c:pt idx="79">
                  <c:v>-0.00010177675962268</c:v>
                </c:pt>
                <c:pt idx="80">
                  <c:v>-0.000299998561694792</c:v>
                </c:pt>
                <c:pt idx="81">
                  <c:v>-0.0139347651103073</c:v>
                </c:pt>
                <c:pt idx="82">
                  <c:v>-0.0195851991984649</c:v>
                </c:pt>
                <c:pt idx="83">
                  <c:v>-0.025209876323797</c:v>
                </c:pt>
                <c:pt idx="84">
                  <c:v>-0.0285179275959237</c:v>
                </c:pt>
                <c:pt idx="85">
                  <c:v>-0.030714983979504</c:v>
                </c:pt>
                <c:pt idx="86">
                  <c:v>-0.0317412300985667</c:v>
                </c:pt>
                <c:pt idx="87">
                  <c:v>-0.0319272406193259</c:v>
                </c:pt>
                <c:pt idx="88">
                  <c:v>-0.0314243564624524</c:v>
                </c:pt>
                <c:pt idx="89">
                  <c:v>-0.0304066220124171</c:v>
                </c:pt>
                <c:pt idx="90">
                  <c:v>-0.0290049875621994</c:v>
                </c:pt>
                <c:pt idx="91">
                  <c:v>-0.0273341173495075</c:v>
                </c:pt>
                <c:pt idx="92">
                  <c:v>-0.0254868246594829</c:v>
                </c:pt>
                <c:pt idx="93">
                  <c:v>-0.0235394544374897</c:v>
                </c:pt>
                <c:pt idx="94">
                  <c:v>-0.0215531843652642</c:v>
                </c:pt>
                <c:pt idx="95">
                  <c:v>-0.0195764557793761</c:v>
                </c:pt>
                <c:pt idx="96">
                  <c:v>-0.0176467330379722</c:v>
                </c:pt>
                <c:pt idx="97">
                  <c:v>-0.0157922260068129</c:v>
                </c:pt>
                <c:pt idx="98">
                  <c:v>-0.0140333687897087</c:v>
                </c:pt>
                <c:pt idx="99">
                  <c:v>-0.0123841418456802</c:v>
                </c:pt>
                <c:pt idx="100">
                  <c:v>-0.0108532240899679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Regelung!$G$12</c:f>
              <c:strCache>
                <c:ptCount val="1"/>
                <c:pt idx="0">
                  <c:v>f(k)/fN</c:v>
                </c:pt>
              </c:strCache>
            </c:strRef>
          </c:tx>
          <c:val>
            <c:numRef>
              <c:f>Regelung!$G$13:$G$113</c:f>
              <c:numCache>
                <c:formatCode>0.00</c:formatCode>
                <c:ptCount val="101"/>
                <c:pt idx="0">
                  <c:v>0.0</c:v>
                </c:pt>
                <c:pt idx="1">
                  <c:v>0.146104660927496</c:v>
                </c:pt>
                <c:pt idx="2">
                  <c:v>0.682692187502801</c:v>
                </c:pt>
                <c:pt idx="3">
                  <c:v>0.695985352066899</c:v>
                </c:pt>
                <c:pt idx="4">
                  <c:v>0.85474343654948</c:v>
                </c:pt>
                <c:pt idx="5">
                  <c:v>0.931792461060578</c:v>
                </c:pt>
                <c:pt idx="6">
                  <c:v>1.010206337945297</c:v>
                </c:pt>
                <c:pt idx="7">
                  <c:v>1.065063507845674</c:v>
                </c:pt>
                <c:pt idx="8">
                  <c:v>1.108489922582137</c:v>
                </c:pt>
                <c:pt idx="9">
                  <c:v>1.139383654004778</c:v>
                </c:pt>
                <c:pt idx="10">
                  <c:v>1.160870792125651</c:v>
                </c:pt>
                <c:pt idx="11">
                  <c:v>1.174277249488245</c:v>
                </c:pt>
                <c:pt idx="12">
                  <c:v>1.181245021087883</c:v>
                </c:pt>
                <c:pt idx="13">
                  <c:v>1.183024709978407</c:v>
                </c:pt>
                <c:pt idx="14">
                  <c:v>1.180746991177372</c:v>
                </c:pt>
                <c:pt idx="15">
                  <c:v>1.17535393545313</c:v>
                </c:pt>
                <c:pt idx="16">
                  <c:v>1.167647234761727</c:v>
                </c:pt>
                <c:pt idx="17">
                  <c:v>1.158294590144306</c:v>
                </c:pt>
                <c:pt idx="18">
                  <c:v>1.147849132090704</c:v>
                </c:pt>
                <c:pt idx="19">
                  <c:v>1.136762741153495</c:v>
                </c:pt>
                <c:pt idx="20">
                  <c:v>1.125399852481735</c:v>
                </c:pt>
                <c:pt idx="21">
                  <c:v>1.114049454692357</c:v>
                </c:pt>
                <c:pt idx="22">
                  <c:v>1.102936104635833</c:v>
                </c:pt>
                <c:pt idx="23">
                  <c:v>1.092229726918</c:v>
                </c:pt>
                <c:pt idx="24">
                  <c:v>1.082054351304747</c:v>
                </c:pt>
                <c:pt idx="25">
                  <c:v>1.072495821391478</c:v>
                </c:pt>
                <c:pt idx="26">
                  <c:v>1.063608558211978</c:v>
                </c:pt>
                <c:pt idx="27">
                  <c:v>1.055421449936548</c:v>
                </c:pt>
                <c:pt idx="28">
                  <c:v>1.04794294496907</c:v>
                </c:pt>
                <c:pt idx="29">
                  <c:v>1.041165422987432</c:v>
                </c:pt>
                <c:pt idx="30">
                  <c:v>1.035068916911203</c:v>
                </c:pt>
                <c:pt idx="31">
                  <c:v>1.029624255382326</c:v>
                </c:pt>
                <c:pt idx="32">
                  <c:v>1.024795691558186</c:v>
                </c:pt>
                <c:pt idx="33">
                  <c:v>1.020543079666312</c:v>
                </c:pt>
                <c:pt idx="34">
                  <c:v>1.016823656185605</c:v>
                </c:pt>
                <c:pt idx="35">
                  <c:v>1.013593477803524</c:v>
                </c:pt>
                <c:pt idx="36">
                  <c:v>1.010808563589894</c:v>
                </c:pt>
                <c:pt idx="37">
                  <c:v>1.008425784213691</c:v>
                </c:pt>
                <c:pt idx="38">
                  <c:v>1.006403536582593</c:v>
                </c:pt>
                <c:pt idx="39">
                  <c:v>1.004702238057351</c:v>
                </c:pt>
                <c:pt idx="40">
                  <c:v>1.003284670420473</c:v>
                </c:pt>
                <c:pt idx="41">
                  <c:v>1.002116200084141</c:v>
                </c:pt>
                <c:pt idx="42">
                  <c:v>0.967448437403819</c:v>
                </c:pt>
                <c:pt idx="43">
                  <c:v>0.952824757378803</c:v>
                </c:pt>
                <c:pt idx="44">
                  <c:v>0.938340194606665</c:v>
                </c:pt>
                <c:pt idx="45">
                  <c:v>0.929713792069246</c:v>
                </c:pt>
                <c:pt idx="46">
                  <c:v>0.923923815062117</c:v>
                </c:pt>
                <c:pt idx="47">
                  <c:v>0.921112665211616</c:v>
                </c:pt>
                <c:pt idx="48">
                  <c:v>0.920447316841902</c:v>
                </c:pt>
                <c:pt idx="49">
                  <c:v>0.921543386727362</c:v>
                </c:pt>
                <c:pt idx="50">
                  <c:v>0.923960287890667</c:v>
                </c:pt>
                <c:pt idx="51">
                  <c:v>0.927365709904638</c:v>
                </c:pt>
                <c:pt idx="52">
                  <c:v>0.931468577391559</c:v>
                </c:pt>
                <c:pt idx="53">
                  <c:v>0.936032935199176</c:v>
                </c:pt>
                <c:pt idx="54">
                  <c:v>0.940864460943122</c:v>
                </c:pt>
                <c:pt idx="55">
                  <c:v>0.945807179009017</c:v>
                </c:pt>
                <c:pt idx="56">
                  <c:v>0.950737348763027</c:v>
                </c:pt>
                <c:pt idx="57">
                  <c:v>0.95555903141023</c:v>
                </c:pt>
                <c:pt idx="58">
                  <c:v>0.960199749570121</c:v>
                </c:pt>
                <c:pt idx="59">
                  <c:v>0.964606757327186</c:v>
                </c:pt>
                <c:pt idx="60">
                  <c:v>0.968743703322876</c:v>
                </c:pt>
                <c:pt idx="61">
                  <c:v>0.972587720694358</c:v>
                </c:pt>
                <c:pt idx="62">
                  <c:v>0.976126888506618</c:v>
                </c:pt>
                <c:pt idx="63">
                  <c:v>0.979358039527886</c:v>
                </c:pt>
                <c:pt idx="64">
                  <c:v>0.982284879058647</c:v>
                </c:pt>
                <c:pt idx="65">
                  <c:v>0.984916384181369</c:v>
                </c:pt>
                <c:pt idx="66">
                  <c:v>0.987265452929376</c:v>
                </c:pt>
                <c:pt idx="67">
                  <c:v>0.989347775009587</c:v>
                </c:pt>
                <c:pt idx="68">
                  <c:v>0.991180897450215</c:v>
                </c:pt>
                <c:pt idx="69">
                  <c:v>0.992783460599652</c:v>
                </c:pt>
                <c:pt idx="70">
                  <c:v>0.99417458193417</c:v>
                </c:pt>
                <c:pt idx="71">
                  <c:v>0.99537336718439</c:v>
                </c:pt>
                <c:pt idx="72">
                  <c:v>0.996398530290066</c:v>
                </c:pt>
                <c:pt idx="73">
                  <c:v>0.997268105621022</c:v>
                </c:pt>
                <c:pt idx="74">
                  <c:v>0.997999237732857</c:v>
                </c:pt>
                <c:pt idx="75">
                  <c:v>0.998608035645524</c:v>
                </c:pt>
                <c:pt idx="76">
                  <c:v>0.999109480230878</c:v>
                </c:pt>
                <c:pt idx="77">
                  <c:v>0.999517374767003</c:v>
                </c:pt>
                <c:pt idx="78">
                  <c:v>0.999844330061015</c:v>
                </c:pt>
                <c:pt idx="79">
                  <c:v>1.000101776759623</c:v>
                </c:pt>
                <c:pt idx="80">
                  <c:v>1.000299998561695</c:v>
                </c:pt>
                <c:pt idx="81">
                  <c:v>1.013934765110307</c:v>
                </c:pt>
                <c:pt idx="82">
                  <c:v>1.019585199198465</c:v>
                </c:pt>
                <c:pt idx="83">
                  <c:v>1.025209876323797</c:v>
                </c:pt>
                <c:pt idx="84">
                  <c:v>1.028517927595924</c:v>
                </c:pt>
                <c:pt idx="85">
                  <c:v>1.030714983979504</c:v>
                </c:pt>
                <c:pt idx="86">
                  <c:v>1.031741230098567</c:v>
                </c:pt>
                <c:pt idx="87">
                  <c:v>1.031927240619326</c:v>
                </c:pt>
                <c:pt idx="88">
                  <c:v>1.031424356462452</c:v>
                </c:pt>
                <c:pt idx="89">
                  <c:v>1.030406622012417</c:v>
                </c:pt>
                <c:pt idx="90">
                  <c:v>1.029004987562199</c:v>
                </c:pt>
                <c:pt idx="91">
                  <c:v>1.027334117349507</c:v>
                </c:pt>
                <c:pt idx="92">
                  <c:v>1.025486824659483</c:v>
                </c:pt>
                <c:pt idx="93">
                  <c:v>1.02353945443749</c:v>
                </c:pt>
                <c:pt idx="94">
                  <c:v>1.021553184365264</c:v>
                </c:pt>
                <c:pt idx="95">
                  <c:v>1.019576455779376</c:v>
                </c:pt>
                <c:pt idx="96">
                  <c:v>1.017646733037972</c:v>
                </c:pt>
                <c:pt idx="97">
                  <c:v>1.015792226006813</c:v>
                </c:pt>
                <c:pt idx="98">
                  <c:v>1.014033368789709</c:v>
                </c:pt>
                <c:pt idx="99">
                  <c:v>1.01238414184568</c:v>
                </c:pt>
                <c:pt idx="100">
                  <c:v>1.010853224089968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002136"/>
        <c:axId val="2073005080"/>
      </c:lineChart>
      <c:catAx>
        <c:axId val="20730021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73005080"/>
        <c:crosses val="autoZero"/>
        <c:auto val="1"/>
        <c:lblAlgn val="ctr"/>
        <c:lblOffset val="100"/>
        <c:noMultiLvlLbl val="0"/>
      </c:catAx>
      <c:valAx>
        <c:axId val="2073005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de-DE"/>
          </a:p>
        </c:txPr>
        <c:crossAx val="207300213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Regelung!$D$12:$D$13</c:f>
              <c:strCache>
                <c:ptCount val="1"/>
                <c:pt idx="0">
                  <c:v>e(k) 0</c:v>
                </c:pt>
              </c:strCache>
            </c:strRef>
          </c:tx>
          <c:val>
            <c:numRef>
              <c:f>Regelung!$D$14:$D$113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0.317307812497199</c:v>
                </c:pt>
                <c:pt idx="2">
                  <c:v>0.3040146479331</c:v>
                </c:pt>
                <c:pt idx="3">
                  <c:v>0.14525656345052</c:v>
                </c:pt>
                <c:pt idx="4">
                  <c:v>0.0682075389394223</c:v>
                </c:pt>
                <c:pt idx="5">
                  <c:v>-0.0102063379452969</c:v>
                </c:pt>
                <c:pt idx="6">
                  <c:v>-0.0650635078456742</c:v>
                </c:pt>
                <c:pt idx="7">
                  <c:v>-0.108489922582137</c:v>
                </c:pt>
                <c:pt idx="8">
                  <c:v>-0.139383654004778</c:v>
                </c:pt>
                <c:pt idx="9">
                  <c:v>-0.160870792125651</c:v>
                </c:pt>
                <c:pt idx="10">
                  <c:v>-0.174277249488245</c:v>
                </c:pt>
                <c:pt idx="11">
                  <c:v>-0.181245021087883</c:v>
                </c:pt>
                <c:pt idx="12">
                  <c:v>-0.183024709978407</c:v>
                </c:pt>
                <c:pt idx="13">
                  <c:v>-0.180746991177372</c:v>
                </c:pt>
                <c:pt idx="14">
                  <c:v>-0.17535393545313</c:v>
                </c:pt>
                <c:pt idx="15">
                  <c:v>-0.167647234761727</c:v>
                </c:pt>
                <c:pt idx="16">
                  <c:v>-0.158294590144306</c:v>
                </c:pt>
                <c:pt idx="17">
                  <c:v>-0.147849132090704</c:v>
                </c:pt>
                <c:pt idx="18">
                  <c:v>-0.136762741153495</c:v>
                </c:pt>
                <c:pt idx="19">
                  <c:v>-0.125399852481736</c:v>
                </c:pt>
                <c:pt idx="20">
                  <c:v>-0.114049454692357</c:v>
                </c:pt>
                <c:pt idx="21">
                  <c:v>-0.102936104635833</c:v>
                </c:pt>
                <c:pt idx="22">
                  <c:v>-0.0922297269180003</c:v>
                </c:pt>
                <c:pt idx="23">
                  <c:v>-0.0820543513047473</c:v>
                </c:pt>
                <c:pt idx="24">
                  <c:v>-0.072495821391478</c:v>
                </c:pt>
                <c:pt idx="25">
                  <c:v>-0.0636085582119781</c:v>
                </c:pt>
                <c:pt idx="26">
                  <c:v>-0.0554214499365485</c:v>
                </c:pt>
                <c:pt idx="27">
                  <c:v>-0.0479429449690695</c:v>
                </c:pt>
                <c:pt idx="28">
                  <c:v>-0.0411654229874316</c:v>
                </c:pt>
                <c:pt idx="29">
                  <c:v>-0.0350689169112032</c:v>
                </c:pt>
                <c:pt idx="30">
                  <c:v>-0.0296242553823264</c:v>
                </c:pt>
                <c:pt idx="31">
                  <c:v>-0.0247956915581858</c:v>
                </c:pt>
                <c:pt idx="32">
                  <c:v>-0.0205430796663121</c:v>
                </c:pt>
                <c:pt idx="33">
                  <c:v>-0.0168236561856053</c:v>
                </c:pt>
                <c:pt idx="34">
                  <c:v>-0.0135934778035245</c:v>
                </c:pt>
                <c:pt idx="35">
                  <c:v>-0.0108085635898939</c:v>
                </c:pt>
                <c:pt idx="36">
                  <c:v>-0.00842578421369065</c:v>
                </c:pt>
                <c:pt idx="37">
                  <c:v>-0.006403536582593</c:v>
                </c:pt>
                <c:pt idx="38">
                  <c:v>-0.00470223805735062</c:v>
                </c:pt>
                <c:pt idx="39">
                  <c:v>-0.0032846704204735</c:v>
                </c:pt>
                <c:pt idx="40">
                  <c:v>-0.00211620008414093</c:v>
                </c:pt>
                <c:pt idx="41">
                  <c:v>0.0325515625961812</c:v>
                </c:pt>
                <c:pt idx="42">
                  <c:v>0.0471752426211971</c:v>
                </c:pt>
                <c:pt idx="43">
                  <c:v>0.0616598053933349</c:v>
                </c:pt>
                <c:pt idx="44">
                  <c:v>0.0702862079307544</c:v>
                </c:pt>
                <c:pt idx="45">
                  <c:v>0.0760761849378828</c:v>
                </c:pt>
                <c:pt idx="46">
                  <c:v>0.0788873347883841</c:v>
                </c:pt>
                <c:pt idx="47">
                  <c:v>0.079552683158098</c:v>
                </c:pt>
                <c:pt idx="48">
                  <c:v>0.0784566132726381</c:v>
                </c:pt>
                <c:pt idx="49">
                  <c:v>0.0760397121093326</c:v>
                </c:pt>
                <c:pt idx="50">
                  <c:v>0.0726342900953618</c:v>
                </c:pt>
                <c:pt idx="51">
                  <c:v>0.0685314226084409</c:v>
                </c:pt>
                <c:pt idx="52">
                  <c:v>0.0639670648008244</c:v>
                </c:pt>
                <c:pt idx="53">
                  <c:v>0.0591355390568775</c:v>
                </c:pt>
                <c:pt idx="54">
                  <c:v>0.0541928209909829</c:v>
                </c:pt>
                <c:pt idx="55">
                  <c:v>0.0492626512369734</c:v>
                </c:pt>
                <c:pt idx="56">
                  <c:v>0.0444409685897696</c:v>
                </c:pt>
                <c:pt idx="57">
                  <c:v>0.0398002504298785</c:v>
                </c:pt>
                <c:pt idx="58">
                  <c:v>0.0353932426728138</c:v>
                </c:pt>
                <c:pt idx="59">
                  <c:v>0.031256296677124</c:v>
                </c:pt>
                <c:pt idx="60">
                  <c:v>0.0274122793056417</c:v>
                </c:pt>
                <c:pt idx="61">
                  <c:v>0.0238731114933818</c:v>
                </c:pt>
                <c:pt idx="62">
                  <c:v>0.0206419604721138</c:v>
                </c:pt>
                <c:pt idx="63">
                  <c:v>0.0177151209413534</c:v>
                </c:pt>
                <c:pt idx="64">
                  <c:v>0.0150836158186312</c:v>
                </c:pt>
                <c:pt idx="65">
                  <c:v>0.0127345470706236</c:v>
                </c:pt>
                <c:pt idx="66">
                  <c:v>0.010652224990413</c:v>
                </c:pt>
                <c:pt idx="67">
                  <c:v>0.00881910254978462</c:v>
                </c:pt>
                <c:pt idx="68">
                  <c:v>0.00721653940034775</c:v>
                </c:pt>
                <c:pt idx="69">
                  <c:v>0.00582541806583034</c:v>
                </c:pt>
                <c:pt idx="70">
                  <c:v>0.00462663281561042</c:v>
                </c:pt>
                <c:pt idx="71">
                  <c:v>0.00360146970993355</c:v>
                </c:pt>
                <c:pt idx="72">
                  <c:v>0.00273189437897751</c:v>
                </c:pt>
                <c:pt idx="73">
                  <c:v>0.00200076226714251</c:v>
                </c:pt>
                <c:pt idx="74">
                  <c:v>0.00139196435447593</c:v>
                </c:pt>
                <c:pt idx="75">
                  <c:v>0.000890519769121965</c:v>
                </c:pt>
                <c:pt idx="76">
                  <c:v>0.000482625232996421</c:v>
                </c:pt>
                <c:pt idx="77">
                  <c:v>0.000155669938984526</c:v>
                </c:pt>
                <c:pt idx="78">
                  <c:v>-0.00010177675962268</c:v>
                </c:pt>
                <c:pt idx="79">
                  <c:v>-0.000299998561694792</c:v>
                </c:pt>
                <c:pt idx="80">
                  <c:v>-0.0139347651103073</c:v>
                </c:pt>
                <c:pt idx="81">
                  <c:v>-0.0195851991984649</c:v>
                </c:pt>
                <c:pt idx="82">
                  <c:v>-0.025209876323797</c:v>
                </c:pt>
                <c:pt idx="83">
                  <c:v>-0.0285179275959237</c:v>
                </c:pt>
                <c:pt idx="84">
                  <c:v>-0.030714983979504</c:v>
                </c:pt>
                <c:pt idx="85">
                  <c:v>-0.0317412300985667</c:v>
                </c:pt>
                <c:pt idx="86">
                  <c:v>-0.0319272406193259</c:v>
                </c:pt>
                <c:pt idx="87">
                  <c:v>-0.0314243564624524</c:v>
                </c:pt>
                <c:pt idx="88">
                  <c:v>-0.0304066220124171</c:v>
                </c:pt>
                <c:pt idx="89">
                  <c:v>-0.0290049875621994</c:v>
                </c:pt>
                <c:pt idx="90">
                  <c:v>-0.0273341173495075</c:v>
                </c:pt>
                <c:pt idx="91">
                  <c:v>-0.0254868246594829</c:v>
                </c:pt>
                <c:pt idx="92">
                  <c:v>-0.0235394544374897</c:v>
                </c:pt>
                <c:pt idx="93">
                  <c:v>-0.0215531843652642</c:v>
                </c:pt>
                <c:pt idx="94">
                  <c:v>-0.0195764557793761</c:v>
                </c:pt>
                <c:pt idx="95">
                  <c:v>-0.0176467330379722</c:v>
                </c:pt>
                <c:pt idx="96">
                  <c:v>-0.0157922260068129</c:v>
                </c:pt>
                <c:pt idx="97">
                  <c:v>-0.0140333687897087</c:v>
                </c:pt>
                <c:pt idx="98">
                  <c:v>-0.0123841418456802</c:v>
                </c:pt>
                <c:pt idx="99">
                  <c:v>-0.0108532240899679</c:v>
                </c:pt>
              </c:numCache>
            </c:numRef>
          </c:val>
          <c:smooth val="0"/>
        </c:ser>
        <c:ser>
          <c:idx val="15"/>
          <c:order val="1"/>
          <c:tx>
            <c:strRef>
              <c:f>Regelung!$P$12:$P$13</c:f>
              <c:strCache>
                <c:ptCount val="1"/>
                <c:pt idx="0">
                  <c:v>Sum (e(k))</c:v>
                </c:pt>
              </c:strCache>
            </c:strRef>
          </c:tx>
          <c:val>
            <c:numRef>
              <c:f>Regelung!$P$14:$P$113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1.171203151569703</c:v>
                </c:pt>
                <c:pt idx="2">
                  <c:v>1.475217799502804</c:v>
                </c:pt>
                <c:pt idx="3">
                  <c:v>1.620474362953323</c:v>
                </c:pt>
                <c:pt idx="4">
                  <c:v>1.688681901892746</c:v>
                </c:pt>
                <c:pt idx="5">
                  <c:v>1.67847556394745</c:v>
                </c:pt>
                <c:pt idx="6">
                  <c:v>1.613412056101775</c:v>
                </c:pt>
                <c:pt idx="7">
                  <c:v>1.504922133519638</c:v>
                </c:pt>
                <c:pt idx="8">
                  <c:v>1.36553847951486</c:v>
                </c:pt>
                <c:pt idx="9">
                  <c:v>1.204667687389209</c:v>
                </c:pt>
                <c:pt idx="10">
                  <c:v>1.030390437900964</c:v>
                </c:pt>
                <c:pt idx="11">
                  <c:v>0.849145416813081</c:v>
                </c:pt>
                <c:pt idx="12">
                  <c:v>0.666120706834674</c:v>
                </c:pt>
                <c:pt idx="13">
                  <c:v>0.485373715657302</c:v>
                </c:pt>
                <c:pt idx="14">
                  <c:v>0.310019780204172</c:v>
                </c:pt>
                <c:pt idx="15">
                  <c:v>0.142372545442445</c:v>
                </c:pt>
                <c:pt idx="16">
                  <c:v>-0.0159220447018614</c:v>
                </c:pt>
                <c:pt idx="17">
                  <c:v>-0.163771176792565</c:v>
                </c:pt>
                <c:pt idx="18">
                  <c:v>-0.30053391794606</c:v>
                </c:pt>
                <c:pt idx="19">
                  <c:v>-0.425933770427796</c:v>
                </c:pt>
                <c:pt idx="20">
                  <c:v>-0.539983225120153</c:v>
                </c:pt>
                <c:pt idx="21">
                  <c:v>-0.642919329755986</c:v>
                </c:pt>
                <c:pt idx="22">
                  <c:v>-0.735149056673986</c:v>
                </c:pt>
                <c:pt idx="23">
                  <c:v>-0.817203407978734</c:v>
                </c:pt>
                <c:pt idx="24">
                  <c:v>-0.889699229370212</c:v>
                </c:pt>
                <c:pt idx="25">
                  <c:v>-0.95330778758219</c:v>
                </c:pt>
                <c:pt idx="26">
                  <c:v>-1.008729237518738</c:v>
                </c:pt>
                <c:pt idx="27">
                  <c:v>-1.056672182487808</c:v>
                </c:pt>
                <c:pt idx="28">
                  <c:v>-1.097837605475239</c:v>
                </c:pt>
                <c:pt idx="29">
                  <c:v>-1.132906522386443</c:v>
                </c:pt>
                <c:pt idx="30">
                  <c:v>-1.16253077776877</c:v>
                </c:pt>
                <c:pt idx="31">
                  <c:v>-1.187326469326955</c:v>
                </c:pt>
                <c:pt idx="32">
                  <c:v>-1.207869548993267</c:v>
                </c:pt>
                <c:pt idx="33">
                  <c:v>-1.224693205178872</c:v>
                </c:pt>
                <c:pt idx="34">
                  <c:v>-1.238286682982397</c:v>
                </c:pt>
                <c:pt idx="35">
                  <c:v>-1.249095246572291</c:v>
                </c:pt>
                <c:pt idx="36">
                  <c:v>-1.257521030785981</c:v>
                </c:pt>
                <c:pt idx="37">
                  <c:v>-1.263924567368574</c:v>
                </c:pt>
                <c:pt idx="38">
                  <c:v>-1.268626805425925</c:v>
                </c:pt>
                <c:pt idx="39">
                  <c:v>-1.271911475846398</c:v>
                </c:pt>
                <c:pt idx="40">
                  <c:v>-1.27402767593054</c:v>
                </c:pt>
                <c:pt idx="41">
                  <c:v>-1.241476113334358</c:v>
                </c:pt>
                <c:pt idx="42">
                  <c:v>-1.194300870713161</c:v>
                </c:pt>
                <c:pt idx="43">
                  <c:v>-1.132641065319826</c:v>
                </c:pt>
                <c:pt idx="44">
                  <c:v>-1.062354857389072</c:v>
                </c:pt>
                <c:pt idx="45">
                  <c:v>-0.986278672451189</c:v>
                </c:pt>
                <c:pt idx="46">
                  <c:v>-0.907391337662805</c:v>
                </c:pt>
                <c:pt idx="47">
                  <c:v>-0.827838654504707</c:v>
                </c:pt>
                <c:pt idx="48">
                  <c:v>-0.749382041232068</c:v>
                </c:pt>
                <c:pt idx="49">
                  <c:v>-0.673342329122736</c:v>
                </c:pt>
                <c:pt idx="50">
                  <c:v>-0.600708039027374</c:v>
                </c:pt>
                <c:pt idx="51">
                  <c:v>-0.532176616418933</c:v>
                </c:pt>
                <c:pt idx="52">
                  <c:v>-0.468209551618109</c:v>
                </c:pt>
                <c:pt idx="53">
                  <c:v>-0.409074012561231</c:v>
                </c:pt>
                <c:pt idx="54">
                  <c:v>-0.354881191570248</c:v>
                </c:pt>
                <c:pt idx="55">
                  <c:v>-0.305618540333275</c:v>
                </c:pt>
                <c:pt idx="56">
                  <c:v>-0.261177571743505</c:v>
                </c:pt>
                <c:pt idx="57">
                  <c:v>-0.221377321313627</c:v>
                </c:pt>
                <c:pt idx="58">
                  <c:v>-0.185984078640813</c:v>
                </c:pt>
                <c:pt idx="59">
                  <c:v>-0.154727781963689</c:v>
                </c:pt>
                <c:pt idx="60">
                  <c:v>-0.127315502658047</c:v>
                </c:pt>
                <c:pt idx="61">
                  <c:v>-0.103442391164665</c:v>
                </c:pt>
                <c:pt idx="62">
                  <c:v>-0.0828004306925516</c:v>
                </c:pt>
                <c:pt idx="63">
                  <c:v>-0.0650853097511983</c:v>
                </c:pt>
                <c:pt idx="64">
                  <c:v>-0.0500016939325671</c:v>
                </c:pt>
                <c:pt idx="65">
                  <c:v>-0.0372671468619434</c:v>
                </c:pt>
                <c:pt idx="66">
                  <c:v>-0.0266149218715305</c:v>
                </c:pt>
                <c:pt idx="67">
                  <c:v>-0.0177958193217458</c:v>
                </c:pt>
                <c:pt idx="68">
                  <c:v>-0.0105792799213981</c:v>
                </c:pt>
                <c:pt idx="69">
                  <c:v>-0.00475386185556774</c:v>
                </c:pt>
                <c:pt idx="70">
                  <c:v>-0.000127229039957328</c:v>
                </c:pt>
                <c:pt idx="71">
                  <c:v>0.00347424066997622</c:v>
                </c:pt>
                <c:pt idx="72">
                  <c:v>0.00620613504895373</c:v>
                </c:pt>
                <c:pt idx="73">
                  <c:v>0.00820689731609625</c:v>
                </c:pt>
                <c:pt idx="74">
                  <c:v>0.00959886167057218</c:v>
                </c:pt>
                <c:pt idx="75">
                  <c:v>0.0104893814396941</c:v>
                </c:pt>
                <c:pt idx="76">
                  <c:v>0.0109720066726906</c:v>
                </c:pt>
                <c:pt idx="77">
                  <c:v>0.0111276766116751</c:v>
                </c:pt>
                <c:pt idx="78">
                  <c:v>0.0110258998520524</c:v>
                </c:pt>
                <c:pt idx="79">
                  <c:v>0.0107259012903576</c:v>
                </c:pt>
                <c:pt idx="80">
                  <c:v>-0.00320886381994966</c:v>
                </c:pt>
                <c:pt idx="81">
                  <c:v>-0.0227940630184145</c:v>
                </c:pt>
                <c:pt idx="82">
                  <c:v>-0.0480039393422115</c:v>
                </c:pt>
                <c:pt idx="83">
                  <c:v>-0.0765218669381352</c:v>
                </c:pt>
                <c:pt idx="84">
                  <c:v>-0.107236850917639</c:v>
                </c:pt>
                <c:pt idx="85">
                  <c:v>-0.138978081016206</c:v>
                </c:pt>
                <c:pt idx="86">
                  <c:v>-0.170905321635532</c:v>
                </c:pt>
                <c:pt idx="87">
                  <c:v>-0.202329678097984</c:v>
                </c:pt>
                <c:pt idx="88">
                  <c:v>-0.232736300110401</c:v>
                </c:pt>
                <c:pt idx="89">
                  <c:v>-0.261741287672601</c:v>
                </c:pt>
                <c:pt idx="90">
                  <c:v>-0.289075405022108</c:v>
                </c:pt>
                <c:pt idx="91">
                  <c:v>-0.314562229681591</c:v>
                </c:pt>
                <c:pt idx="92">
                  <c:v>-0.338101684119081</c:v>
                </c:pt>
                <c:pt idx="93">
                  <c:v>-0.359654868484345</c:v>
                </c:pt>
                <c:pt idx="94">
                  <c:v>-0.379231324263721</c:v>
                </c:pt>
                <c:pt idx="95">
                  <c:v>-0.396878057301693</c:v>
                </c:pt>
                <c:pt idx="96">
                  <c:v>-0.412670283308506</c:v>
                </c:pt>
                <c:pt idx="97">
                  <c:v>-0.426703652098215</c:v>
                </c:pt>
                <c:pt idx="98">
                  <c:v>-0.439087793943895</c:v>
                </c:pt>
                <c:pt idx="99">
                  <c:v>-0.449941018033863</c:v>
                </c:pt>
              </c:numCache>
            </c:numRef>
          </c:val>
          <c:smooth val="0"/>
        </c:ser>
        <c:ser>
          <c:idx val="16"/>
          <c:order val="2"/>
          <c:tx>
            <c:strRef>
              <c:f>Regelung!$Q$12:$Q$13</c:f>
              <c:strCache>
                <c:ptCount val="1"/>
                <c:pt idx="0">
                  <c:v>Trend e'(k)= e(k)-e(k-1)</c:v>
                </c:pt>
              </c:strCache>
            </c:strRef>
          </c:tx>
          <c:val>
            <c:numRef>
              <c:f>Regelung!$Q$14:$Q$113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-0.536587526575305</c:v>
                </c:pt>
                <c:pt idx="2">
                  <c:v>-0.0132931645640988</c:v>
                </c:pt>
                <c:pt idx="3">
                  <c:v>-0.158758084482581</c:v>
                </c:pt>
                <c:pt idx="4">
                  <c:v>-0.0770490245110973</c:v>
                </c:pt>
                <c:pt idx="5">
                  <c:v>-0.0784138768847192</c:v>
                </c:pt>
                <c:pt idx="6">
                  <c:v>-0.0548571699003773</c:v>
                </c:pt>
                <c:pt idx="7">
                  <c:v>-0.043426414736463</c:v>
                </c:pt>
                <c:pt idx="8">
                  <c:v>-0.0308937314226403</c:v>
                </c:pt>
                <c:pt idx="9">
                  <c:v>-0.0214871381208736</c:v>
                </c:pt>
                <c:pt idx="10">
                  <c:v>-0.0134064573625939</c:v>
                </c:pt>
                <c:pt idx="11">
                  <c:v>-0.00696777159963752</c:v>
                </c:pt>
                <c:pt idx="12">
                  <c:v>-0.00177968889052468</c:v>
                </c:pt>
                <c:pt idx="13">
                  <c:v>0.0022777188010353</c:v>
                </c:pt>
                <c:pt idx="14">
                  <c:v>0.00539305572424231</c:v>
                </c:pt>
                <c:pt idx="15">
                  <c:v>0.00770670069140275</c:v>
                </c:pt>
                <c:pt idx="16">
                  <c:v>0.00935264461742069</c:v>
                </c:pt>
                <c:pt idx="17">
                  <c:v>0.0104454580536027</c:v>
                </c:pt>
                <c:pt idx="18">
                  <c:v>0.0110863909372086</c:v>
                </c:pt>
                <c:pt idx="19">
                  <c:v>0.0113628886717594</c:v>
                </c:pt>
                <c:pt idx="20">
                  <c:v>0.0113503977893782</c:v>
                </c:pt>
                <c:pt idx="21">
                  <c:v>0.0111133500565244</c:v>
                </c:pt>
                <c:pt idx="22">
                  <c:v>0.0107063777178326</c:v>
                </c:pt>
                <c:pt idx="23">
                  <c:v>0.010175375613253</c:v>
                </c:pt>
                <c:pt idx="24">
                  <c:v>0.0095585299132693</c:v>
                </c:pt>
                <c:pt idx="25">
                  <c:v>0.00888726317949992</c:v>
                </c:pt>
                <c:pt idx="26">
                  <c:v>0.00818710827542964</c:v>
                </c:pt>
                <c:pt idx="27">
                  <c:v>0.00747850496747893</c:v>
                </c:pt>
                <c:pt idx="28">
                  <c:v>0.00677752198163792</c:v>
                </c:pt>
                <c:pt idx="29">
                  <c:v>0.0060965060762284</c:v>
                </c:pt>
                <c:pt idx="30">
                  <c:v>0.00544466152887677</c:v>
                </c:pt>
                <c:pt idx="31">
                  <c:v>0.00482856382414062</c:v>
                </c:pt>
                <c:pt idx="32">
                  <c:v>0.00425261189187373</c:v>
                </c:pt>
                <c:pt idx="33">
                  <c:v>0.00371942348070676</c:v>
                </c:pt>
                <c:pt idx="34">
                  <c:v>0.00323017838208079</c:v>
                </c:pt>
                <c:pt idx="35">
                  <c:v>0.0027849142136306</c:v>
                </c:pt>
                <c:pt idx="36">
                  <c:v>0.00238277937620326</c:v>
                </c:pt>
                <c:pt idx="37">
                  <c:v>0.00202224763109765</c:v>
                </c:pt>
                <c:pt idx="38">
                  <c:v>0.00170129852524239</c:v>
                </c:pt>
                <c:pt idx="39">
                  <c:v>0.00141756763687711</c:v>
                </c:pt>
                <c:pt idx="40">
                  <c:v>0.00116847033633257</c:v>
                </c:pt>
                <c:pt idx="41">
                  <c:v>0.0346677626803221</c:v>
                </c:pt>
                <c:pt idx="42">
                  <c:v>0.0146236800250159</c:v>
                </c:pt>
                <c:pt idx="43">
                  <c:v>0.0144845627721378</c:v>
                </c:pt>
                <c:pt idx="44">
                  <c:v>0.00862640253741953</c:v>
                </c:pt>
                <c:pt idx="45">
                  <c:v>0.00578997700712838</c:v>
                </c:pt>
                <c:pt idx="46">
                  <c:v>0.00281114985050135</c:v>
                </c:pt>
                <c:pt idx="47">
                  <c:v>0.000665348369713839</c:v>
                </c:pt>
                <c:pt idx="48">
                  <c:v>-0.00109606988545981</c:v>
                </c:pt>
                <c:pt idx="49">
                  <c:v>-0.00241690116330559</c:v>
                </c:pt>
                <c:pt idx="50">
                  <c:v>-0.00340542201397072</c:v>
                </c:pt>
                <c:pt idx="51">
                  <c:v>-0.00410286748692093</c:v>
                </c:pt>
                <c:pt idx="52">
                  <c:v>-0.00456435780761649</c:v>
                </c:pt>
                <c:pt idx="53">
                  <c:v>-0.00483152574394686</c:v>
                </c:pt>
                <c:pt idx="54">
                  <c:v>-0.00494271806589465</c:v>
                </c:pt>
                <c:pt idx="55">
                  <c:v>-0.00493016975400951</c:v>
                </c:pt>
                <c:pt idx="56">
                  <c:v>-0.00482168264720379</c:v>
                </c:pt>
                <c:pt idx="57">
                  <c:v>-0.00464071815989109</c:v>
                </c:pt>
                <c:pt idx="58">
                  <c:v>-0.0044070077570647</c:v>
                </c:pt>
                <c:pt idx="59">
                  <c:v>-0.00413694599568983</c:v>
                </c:pt>
                <c:pt idx="60">
                  <c:v>-0.00384401737148224</c:v>
                </c:pt>
                <c:pt idx="61">
                  <c:v>-0.00353916781225992</c:v>
                </c:pt>
                <c:pt idx="62">
                  <c:v>-0.00323115102126803</c:v>
                </c:pt>
                <c:pt idx="63">
                  <c:v>-0.00292683953076039</c:v>
                </c:pt>
                <c:pt idx="64">
                  <c:v>-0.0026315051227222</c:v>
                </c:pt>
                <c:pt idx="65">
                  <c:v>-0.00234906874800754</c:v>
                </c:pt>
                <c:pt idx="66">
                  <c:v>-0.00208232208021066</c:v>
                </c:pt>
                <c:pt idx="67">
                  <c:v>-0.00183312244062836</c:v>
                </c:pt>
                <c:pt idx="68">
                  <c:v>-0.00160256314943687</c:v>
                </c:pt>
                <c:pt idx="69">
                  <c:v>-0.00139112133451742</c:v>
                </c:pt>
                <c:pt idx="70">
                  <c:v>-0.00119878525021992</c:v>
                </c:pt>
                <c:pt idx="71">
                  <c:v>-0.00102516310567686</c:v>
                </c:pt>
                <c:pt idx="72">
                  <c:v>-0.000869575330956044</c:v>
                </c:pt>
                <c:pt idx="73">
                  <c:v>-0.000731132111834995</c:v>
                </c:pt>
                <c:pt idx="74">
                  <c:v>-0.000608797912666584</c:v>
                </c:pt>
                <c:pt idx="75">
                  <c:v>-0.000501444585353965</c:v>
                </c:pt>
                <c:pt idx="76">
                  <c:v>-0.000407894536125544</c:v>
                </c:pt>
                <c:pt idx="77">
                  <c:v>-0.000326955294011896</c:v>
                </c:pt>
                <c:pt idx="78">
                  <c:v>-0.000257446698607206</c:v>
                </c:pt>
                <c:pt idx="79">
                  <c:v>-0.000198221802072112</c:v>
                </c:pt>
                <c:pt idx="80">
                  <c:v>-0.0136347665486125</c:v>
                </c:pt>
                <c:pt idx="81">
                  <c:v>-0.0056504340881576</c:v>
                </c:pt>
                <c:pt idx="82">
                  <c:v>-0.0056246771253321</c:v>
                </c:pt>
                <c:pt idx="83">
                  <c:v>-0.0033080512721267</c:v>
                </c:pt>
                <c:pt idx="84">
                  <c:v>-0.00219705638358027</c:v>
                </c:pt>
                <c:pt idx="85">
                  <c:v>-0.00102624611906276</c:v>
                </c:pt>
                <c:pt idx="86">
                  <c:v>-0.000186010520759131</c:v>
                </c:pt>
                <c:pt idx="87">
                  <c:v>0.000502884156873433</c:v>
                </c:pt>
                <c:pt idx="88">
                  <c:v>0.00101773445003528</c:v>
                </c:pt>
                <c:pt idx="89">
                  <c:v>0.00140163445021774</c:v>
                </c:pt>
                <c:pt idx="90">
                  <c:v>0.00167087021269193</c:v>
                </c:pt>
                <c:pt idx="91">
                  <c:v>0.00184729269002461</c:v>
                </c:pt>
                <c:pt idx="92">
                  <c:v>0.00194737022199312</c:v>
                </c:pt>
                <c:pt idx="93">
                  <c:v>0.00198627007222558</c:v>
                </c:pt>
                <c:pt idx="94">
                  <c:v>0.00197672858588809</c:v>
                </c:pt>
                <c:pt idx="95">
                  <c:v>0.00192972274140387</c:v>
                </c:pt>
                <c:pt idx="96">
                  <c:v>0.0018545070311593</c:v>
                </c:pt>
                <c:pt idx="97">
                  <c:v>0.00175885721710423</c:v>
                </c:pt>
                <c:pt idx="98">
                  <c:v>0.00164922694402852</c:v>
                </c:pt>
                <c:pt idx="99">
                  <c:v>0.00153091775571223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115848"/>
        <c:axId val="2070125720"/>
      </c:lineChart>
      <c:catAx>
        <c:axId val="207011584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0125720"/>
        <c:crosses val="autoZero"/>
        <c:auto val="1"/>
        <c:lblAlgn val="ctr"/>
        <c:lblOffset val="100"/>
        <c:noMultiLvlLbl val="0"/>
      </c:catAx>
      <c:valAx>
        <c:axId val="207012572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01158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Regelung!$D$12:$D$13</c:f>
              <c:strCache>
                <c:ptCount val="1"/>
                <c:pt idx="0">
                  <c:v>e(k) 0</c:v>
                </c:pt>
              </c:strCache>
            </c:strRef>
          </c:tx>
          <c:val>
            <c:numRef>
              <c:f>Regelung!$D$14:$D$113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0.317307812497199</c:v>
                </c:pt>
                <c:pt idx="2">
                  <c:v>0.3040146479331</c:v>
                </c:pt>
                <c:pt idx="3">
                  <c:v>0.14525656345052</c:v>
                </c:pt>
                <c:pt idx="4">
                  <c:v>0.0682075389394223</c:v>
                </c:pt>
                <c:pt idx="5">
                  <c:v>-0.0102063379452969</c:v>
                </c:pt>
                <c:pt idx="6">
                  <c:v>-0.0650635078456742</c:v>
                </c:pt>
                <c:pt idx="7">
                  <c:v>-0.108489922582137</c:v>
                </c:pt>
                <c:pt idx="8">
                  <c:v>-0.139383654004778</c:v>
                </c:pt>
                <c:pt idx="9">
                  <c:v>-0.160870792125651</c:v>
                </c:pt>
                <c:pt idx="10">
                  <c:v>-0.174277249488245</c:v>
                </c:pt>
                <c:pt idx="11">
                  <c:v>-0.181245021087883</c:v>
                </c:pt>
                <c:pt idx="12">
                  <c:v>-0.183024709978407</c:v>
                </c:pt>
                <c:pt idx="13">
                  <c:v>-0.180746991177372</c:v>
                </c:pt>
                <c:pt idx="14">
                  <c:v>-0.17535393545313</c:v>
                </c:pt>
                <c:pt idx="15">
                  <c:v>-0.167647234761727</c:v>
                </c:pt>
                <c:pt idx="16">
                  <c:v>-0.158294590144306</c:v>
                </c:pt>
                <c:pt idx="17">
                  <c:v>-0.147849132090704</c:v>
                </c:pt>
                <c:pt idx="18">
                  <c:v>-0.136762741153495</c:v>
                </c:pt>
                <c:pt idx="19">
                  <c:v>-0.125399852481736</c:v>
                </c:pt>
                <c:pt idx="20">
                  <c:v>-0.114049454692357</c:v>
                </c:pt>
                <c:pt idx="21">
                  <c:v>-0.102936104635833</c:v>
                </c:pt>
                <c:pt idx="22">
                  <c:v>-0.0922297269180003</c:v>
                </c:pt>
                <c:pt idx="23">
                  <c:v>-0.0820543513047473</c:v>
                </c:pt>
                <c:pt idx="24">
                  <c:v>-0.072495821391478</c:v>
                </c:pt>
                <c:pt idx="25">
                  <c:v>-0.0636085582119781</c:v>
                </c:pt>
                <c:pt idx="26">
                  <c:v>-0.0554214499365485</c:v>
                </c:pt>
                <c:pt idx="27">
                  <c:v>-0.0479429449690695</c:v>
                </c:pt>
                <c:pt idx="28">
                  <c:v>-0.0411654229874316</c:v>
                </c:pt>
                <c:pt idx="29">
                  <c:v>-0.0350689169112032</c:v>
                </c:pt>
                <c:pt idx="30">
                  <c:v>-0.0296242553823264</c:v>
                </c:pt>
                <c:pt idx="31">
                  <c:v>-0.0247956915581858</c:v>
                </c:pt>
                <c:pt idx="32">
                  <c:v>-0.0205430796663121</c:v>
                </c:pt>
                <c:pt idx="33">
                  <c:v>-0.0168236561856053</c:v>
                </c:pt>
                <c:pt idx="34">
                  <c:v>-0.0135934778035245</c:v>
                </c:pt>
                <c:pt idx="35">
                  <c:v>-0.0108085635898939</c:v>
                </c:pt>
                <c:pt idx="36">
                  <c:v>-0.00842578421369065</c:v>
                </c:pt>
                <c:pt idx="37">
                  <c:v>-0.006403536582593</c:v>
                </c:pt>
                <c:pt idx="38">
                  <c:v>-0.00470223805735062</c:v>
                </c:pt>
                <c:pt idx="39">
                  <c:v>-0.0032846704204735</c:v>
                </c:pt>
                <c:pt idx="40">
                  <c:v>-0.00211620008414093</c:v>
                </c:pt>
                <c:pt idx="41">
                  <c:v>0.0325515625961812</c:v>
                </c:pt>
                <c:pt idx="42">
                  <c:v>0.0471752426211971</c:v>
                </c:pt>
                <c:pt idx="43">
                  <c:v>0.0616598053933349</c:v>
                </c:pt>
                <c:pt idx="44">
                  <c:v>0.0702862079307544</c:v>
                </c:pt>
                <c:pt idx="45">
                  <c:v>0.0760761849378828</c:v>
                </c:pt>
                <c:pt idx="46">
                  <c:v>0.0788873347883841</c:v>
                </c:pt>
                <c:pt idx="47">
                  <c:v>0.079552683158098</c:v>
                </c:pt>
                <c:pt idx="48">
                  <c:v>0.0784566132726381</c:v>
                </c:pt>
                <c:pt idx="49">
                  <c:v>0.0760397121093326</c:v>
                </c:pt>
                <c:pt idx="50">
                  <c:v>0.0726342900953618</c:v>
                </c:pt>
                <c:pt idx="51">
                  <c:v>0.0685314226084409</c:v>
                </c:pt>
                <c:pt idx="52">
                  <c:v>0.0639670648008244</c:v>
                </c:pt>
                <c:pt idx="53">
                  <c:v>0.0591355390568775</c:v>
                </c:pt>
                <c:pt idx="54">
                  <c:v>0.0541928209909829</c:v>
                </c:pt>
                <c:pt idx="55">
                  <c:v>0.0492626512369734</c:v>
                </c:pt>
                <c:pt idx="56">
                  <c:v>0.0444409685897696</c:v>
                </c:pt>
                <c:pt idx="57">
                  <c:v>0.0398002504298785</c:v>
                </c:pt>
                <c:pt idx="58">
                  <c:v>0.0353932426728138</c:v>
                </c:pt>
                <c:pt idx="59">
                  <c:v>0.031256296677124</c:v>
                </c:pt>
                <c:pt idx="60">
                  <c:v>0.0274122793056417</c:v>
                </c:pt>
                <c:pt idx="61">
                  <c:v>0.0238731114933818</c:v>
                </c:pt>
                <c:pt idx="62">
                  <c:v>0.0206419604721138</c:v>
                </c:pt>
                <c:pt idx="63">
                  <c:v>0.0177151209413534</c:v>
                </c:pt>
                <c:pt idx="64">
                  <c:v>0.0150836158186312</c:v>
                </c:pt>
                <c:pt idx="65">
                  <c:v>0.0127345470706236</c:v>
                </c:pt>
                <c:pt idx="66">
                  <c:v>0.010652224990413</c:v>
                </c:pt>
                <c:pt idx="67">
                  <c:v>0.00881910254978462</c:v>
                </c:pt>
                <c:pt idx="68">
                  <c:v>0.00721653940034775</c:v>
                </c:pt>
                <c:pt idx="69">
                  <c:v>0.00582541806583034</c:v>
                </c:pt>
                <c:pt idx="70">
                  <c:v>0.00462663281561042</c:v>
                </c:pt>
                <c:pt idx="71">
                  <c:v>0.00360146970993355</c:v>
                </c:pt>
                <c:pt idx="72">
                  <c:v>0.00273189437897751</c:v>
                </c:pt>
                <c:pt idx="73">
                  <c:v>0.00200076226714251</c:v>
                </c:pt>
                <c:pt idx="74">
                  <c:v>0.00139196435447593</c:v>
                </c:pt>
                <c:pt idx="75">
                  <c:v>0.000890519769121965</c:v>
                </c:pt>
                <c:pt idx="76">
                  <c:v>0.000482625232996421</c:v>
                </c:pt>
                <c:pt idx="77">
                  <c:v>0.000155669938984526</c:v>
                </c:pt>
                <c:pt idx="78">
                  <c:v>-0.00010177675962268</c:v>
                </c:pt>
                <c:pt idx="79">
                  <c:v>-0.000299998561694792</c:v>
                </c:pt>
                <c:pt idx="80">
                  <c:v>-0.0139347651103073</c:v>
                </c:pt>
                <c:pt idx="81">
                  <c:v>-0.0195851991984649</c:v>
                </c:pt>
                <c:pt idx="82">
                  <c:v>-0.025209876323797</c:v>
                </c:pt>
                <c:pt idx="83">
                  <c:v>-0.0285179275959237</c:v>
                </c:pt>
                <c:pt idx="84">
                  <c:v>-0.030714983979504</c:v>
                </c:pt>
                <c:pt idx="85">
                  <c:v>-0.0317412300985667</c:v>
                </c:pt>
                <c:pt idx="86">
                  <c:v>-0.0319272406193259</c:v>
                </c:pt>
                <c:pt idx="87">
                  <c:v>-0.0314243564624524</c:v>
                </c:pt>
                <c:pt idx="88">
                  <c:v>-0.0304066220124171</c:v>
                </c:pt>
                <c:pt idx="89">
                  <c:v>-0.0290049875621994</c:v>
                </c:pt>
                <c:pt idx="90">
                  <c:v>-0.0273341173495075</c:v>
                </c:pt>
                <c:pt idx="91">
                  <c:v>-0.0254868246594829</c:v>
                </c:pt>
                <c:pt idx="92">
                  <c:v>-0.0235394544374897</c:v>
                </c:pt>
                <c:pt idx="93">
                  <c:v>-0.0215531843652642</c:v>
                </c:pt>
                <c:pt idx="94">
                  <c:v>-0.0195764557793761</c:v>
                </c:pt>
                <c:pt idx="95">
                  <c:v>-0.0176467330379722</c:v>
                </c:pt>
                <c:pt idx="96">
                  <c:v>-0.0157922260068129</c:v>
                </c:pt>
                <c:pt idx="97">
                  <c:v>-0.0140333687897087</c:v>
                </c:pt>
                <c:pt idx="98">
                  <c:v>-0.0123841418456802</c:v>
                </c:pt>
                <c:pt idx="99">
                  <c:v>-0.0108532240899679</c:v>
                </c:pt>
              </c:numCache>
            </c:numRef>
          </c:val>
          <c:smooth val="0"/>
        </c:ser>
        <c:ser>
          <c:idx val="16"/>
          <c:order val="1"/>
          <c:tx>
            <c:strRef>
              <c:f>Regelung!$Q$12:$Q$13</c:f>
              <c:strCache>
                <c:ptCount val="1"/>
                <c:pt idx="0">
                  <c:v>Trend e'(k)= e(k)-e(k-1)</c:v>
                </c:pt>
              </c:strCache>
            </c:strRef>
          </c:tx>
          <c:val>
            <c:numRef>
              <c:f>Regelung!$Q$14:$Q$113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-0.536587526575305</c:v>
                </c:pt>
                <c:pt idx="2">
                  <c:v>-0.0132931645640988</c:v>
                </c:pt>
                <c:pt idx="3">
                  <c:v>-0.158758084482581</c:v>
                </c:pt>
                <c:pt idx="4">
                  <c:v>-0.0770490245110973</c:v>
                </c:pt>
                <c:pt idx="5">
                  <c:v>-0.0784138768847192</c:v>
                </c:pt>
                <c:pt idx="6">
                  <c:v>-0.0548571699003773</c:v>
                </c:pt>
                <c:pt idx="7">
                  <c:v>-0.043426414736463</c:v>
                </c:pt>
                <c:pt idx="8">
                  <c:v>-0.0308937314226403</c:v>
                </c:pt>
                <c:pt idx="9">
                  <c:v>-0.0214871381208736</c:v>
                </c:pt>
                <c:pt idx="10">
                  <c:v>-0.0134064573625939</c:v>
                </c:pt>
                <c:pt idx="11">
                  <c:v>-0.00696777159963752</c:v>
                </c:pt>
                <c:pt idx="12">
                  <c:v>-0.00177968889052468</c:v>
                </c:pt>
                <c:pt idx="13">
                  <c:v>0.0022777188010353</c:v>
                </c:pt>
                <c:pt idx="14">
                  <c:v>0.00539305572424231</c:v>
                </c:pt>
                <c:pt idx="15">
                  <c:v>0.00770670069140275</c:v>
                </c:pt>
                <c:pt idx="16">
                  <c:v>0.00935264461742069</c:v>
                </c:pt>
                <c:pt idx="17">
                  <c:v>0.0104454580536027</c:v>
                </c:pt>
                <c:pt idx="18">
                  <c:v>0.0110863909372086</c:v>
                </c:pt>
                <c:pt idx="19">
                  <c:v>0.0113628886717594</c:v>
                </c:pt>
                <c:pt idx="20">
                  <c:v>0.0113503977893782</c:v>
                </c:pt>
                <c:pt idx="21">
                  <c:v>0.0111133500565244</c:v>
                </c:pt>
                <c:pt idx="22">
                  <c:v>0.0107063777178326</c:v>
                </c:pt>
                <c:pt idx="23">
                  <c:v>0.010175375613253</c:v>
                </c:pt>
                <c:pt idx="24">
                  <c:v>0.0095585299132693</c:v>
                </c:pt>
                <c:pt idx="25">
                  <c:v>0.00888726317949992</c:v>
                </c:pt>
                <c:pt idx="26">
                  <c:v>0.00818710827542964</c:v>
                </c:pt>
                <c:pt idx="27">
                  <c:v>0.00747850496747893</c:v>
                </c:pt>
                <c:pt idx="28">
                  <c:v>0.00677752198163792</c:v>
                </c:pt>
                <c:pt idx="29">
                  <c:v>0.0060965060762284</c:v>
                </c:pt>
                <c:pt idx="30">
                  <c:v>0.00544466152887677</c:v>
                </c:pt>
                <c:pt idx="31">
                  <c:v>0.00482856382414062</c:v>
                </c:pt>
                <c:pt idx="32">
                  <c:v>0.00425261189187373</c:v>
                </c:pt>
                <c:pt idx="33">
                  <c:v>0.00371942348070676</c:v>
                </c:pt>
                <c:pt idx="34">
                  <c:v>0.00323017838208079</c:v>
                </c:pt>
                <c:pt idx="35">
                  <c:v>0.0027849142136306</c:v>
                </c:pt>
                <c:pt idx="36">
                  <c:v>0.00238277937620326</c:v>
                </c:pt>
                <c:pt idx="37">
                  <c:v>0.00202224763109765</c:v>
                </c:pt>
                <c:pt idx="38">
                  <c:v>0.00170129852524239</c:v>
                </c:pt>
                <c:pt idx="39">
                  <c:v>0.00141756763687711</c:v>
                </c:pt>
                <c:pt idx="40">
                  <c:v>0.00116847033633257</c:v>
                </c:pt>
                <c:pt idx="41">
                  <c:v>0.0346677626803221</c:v>
                </c:pt>
                <c:pt idx="42">
                  <c:v>0.0146236800250159</c:v>
                </c:pt>
                <c:pt idx="43">
                  <c:v>0.0144845627721378</c:v>
                </c:pt>
                <c:pt idx="44">
                  <c:v>0.00862640253741953</c:v>
                </c:pt>
                <c:pt idx="45">
                  <c:v>0.00578997700712838</c:v>
                </c:pt>
                <c:pt idx="46">
                  <c:v>0.00281114985050135</c:v>
                </c:pt>
                <c:pt idx="47">
                  <c:v>0.000665348369713839</c:v>
                </c:pt>
                <c:pt idx="48">
                  <c:v>-0.00109606988545981</c:v>
                </c:pt>
                <c:pt idx="49">
                  <c:v>-0.00241690116330559</c:v>
                </c:pt>
                <c:pt idx="50">
                  <c:v>-0.00340542201397072</c:v>
                </c:pt>
                <c:pt idx="51">
                  <c:v>-0.00410286748692093</c:v>
                </c:pt>
                <c:pt idx="52">
                  <c:v>-0.00456435780761649</c:v>
                </c:pt>
                <c:pt idx="53">
                  <c:v>-0.00483152574394686</c:v>
                </c:pt>
                <c:pt idx="54">
                  <c:v>-0.00494271806589465</c:v>
                </c:pt>
                <c:pt idx="55">
                  <c:v>-0.00493016975400951</c:v>
                </c:pt>
                <c:pt idx="56">
                  <c:v>-0.00482168264720379</c:v>
                </c:pt>
                <c:pt idx="57">
                  <c:v>-0.00464071815989109</c:v>
                </c:pt>
                <c:pt idx="58">
                  <c:v>-0.0044070077570647</c:v>
                </c:pt>
                <c:pt idx="59">
                  <c:v>-0.00413694599568983</c:v>
                </c:pt>
                <c:pt idx="60">
                  <c:v>-0.00384401737148224</c:v>
                </c:pt>
                <c:pt idx="61">
                  <c:v>-0.00353916781225992</c:v>
                </c:pt>
                <c:pt idx="62">
                  <c:v>-0.00323115102126803</c:v>
                </c:pt>
                <c:pt idx="63">
                  <c:v>-0.00292683953076039</c:v>
                </c:pt>
                <c:pt idx="64">
                  <c:v>-0.0026315051227222</c:v>
                </c:pt>
                <c:pt idx="65">
                  <c:v>-0.00234906874800754</c:v>
                </c:pt>
                <c:pt idx="66">
                  <c:v>-0.00208232208021066</c:v>
                </c:pt>
                <c:pt idx="67">
                  <c:v>-0.00183312244062836</c:v>
                </c:pt>
                <c:pt idx="68">
                  <c:v>-0.00160256314943687</c:v>
                </c:pt>
                <c:pt idx="69">
                  <c:v>-0.00139112133451742</c:v>
                </c:pt>
                <c:pt idx="70">
                  <c:v>-0.00119878525021992</c:v>
                </c:pt>
                <c:pt idx="71">
                  <c:v>-0.00102516310567686</c:v>
                </c:pt>
                <c:pt idx="72">
                  <c:v>-0.000869575330956044</c:v>
                </c:pt>
                <c:pt idx="73">
                  <c:v>-0.000731132111834995</c:v>
                </c:pt>
                <c:pt idx="74">
                  <c:v>-0.000608797912666584</c:v>
                </c:pt>
                <c:pt idx="75">
                  <c:v>-0.000501444585353965</c:v>
                </c:pt>
                <c:pt idx="76">
                  <c:v>-0.000407894536125544</c:v>
                </c:pt>
                <c:pt idx="77">
                  <c:v>-0.000326955294011896</c:v>
                </c:pt>
                <c:pt idx="78">
                  <c:v>-0.000257446698607206</c:v>
                </c:pt>
                <c:pt idx="79">
                  <c:v>-0.000198221802072112</c:v>
                </c:pt>
                <c:pt idx="80">
                  <c:v>-0.0136347665486125</c:v>
                </c:pt>
                <c:pt idx="81">
                  <c:v>-0.0056504340881576</c:v>
                </c:pt>
                <c:pt idx="82">
                  <c:v>-0.0056246771253321</c:v>
                </c:pt>
                <c:pt idx="83">
                  <c:v>-0.0033080512721267</c:v>
                </c:pt>
                <c:pt idx="84">
                  <c:v>-0.00219705638358027</c:v>
                </c:pt>
                <c:pt idx="85">
                  <c:v>-0.00102624611906276</c:v>
                </c:pt>
                <c:pt idx="86">
                  <c:v>-0.000186010520759131</c:v>
                </c:pt>
                <c:pt idx="87">
                  <c:v>0.000502884156873433</c:v>
                </c:pt>
                <c:pt idx="88">
                  <c:v>0.00101773445003528</c:v>
                </c:pt>
                <c:pt idx="89">
                  <c:v>0.00140163445021774</c:v>
                </c:pt>
                <c:pt idx="90">
                  <c:v>0.00167087021269193</c:v>
                </c:pt>
                <c:pt idx="91">
                  <c:v>0.00184729269002461</c:v>
                </c:pt>
                <c:pt idx="92">
                  <c:v>0.00194737022199312</c:v>
                </c:pt>
                <c:pt idx="93">
                  <c:v>0.00198627007222558</c:v>
                </c:pt>
                <c:pt idx="94">
                  <c:v>0.00197672858588809</c:v>
                </c:pt>
                <c:pt idx="95">
                  <c:v>0.00192972274140387</c:v>
                </c:pt>
                <c:pt idx="96">
                  <c:v>0.0018545070311593</c:v>
                </c:pt>
                <c:pt idx="97">
                  <c:v>0.00175885721710423</c:v>
                </c:pt>
                <c:pt idx="98">
                  <c:v>0.00164922694402852</c:v>
                </c:pt>
                <c:pt idx="99">
                  <c:v>0.00153091775571223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913976"/>
        <c:axId val="2069916952"/>
      </c:lineChart>
      <c:catAx>
        <c:axId val="2069913976"/>
        <c:scaling>
          <c:orientation val="minMax"/>
        </c:scaling>
        <c:delete val="0"/>
        <c:axPos val="b"/>
        <c:majorTickMark val="out"/>
        <c:minorTickMark val="none"/>
        <c:tickLblPos val="nextTo"/>
        <c:crossAx val="2069916952"/>
        <c:crosses val="autoZero"/>
        <c:auto val="1"/>
        <c:lblAlgn val="ctr"/>
        <c:lblOffset val="100"/>
        <c:noMultiLvlLbl val="0"/>
      </c:catAx>
      <c:valAx>
        <c:axId val="20699169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699139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Regelung_2!$B$12</c:f>
              <c:strCache>
                <c:ptCount val="1"/>
                <c:pt idx="0">
                  <c:v>ML/MN</c:v>
                </c:pt>
              </c:strCache>
            </c:strRef>
          </c:tx>
          <c:val>
            <c:numRef>
              <c:f>Regelung_2!$B$13:$B$113</c:f>
              <c:numCache>
                <c:formatCode>General</c:formatCode>
                <c:ptCount val="101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3.0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4.0</c:v>
                </c:pt>
                <c:pt idx="41">
                  <c:v>4.0</c:v>
                </c:pt>
                <c:pt idx="42">
                  <c:v>4.0</c:v>
                </c:pt>
                <c:pt idx="43">
                  <c:v>4.0</c:v>
                </c:pt>
                <c:pt idx="44">
                  <c:v>4.0</c:v>
                </c:pt>
                <c:pt idx="45">
                  <c:v>4.0</c:v>
                </c:pt>
                <c:pt idx="46">
                  <c:v>4.0</c:v>
                </c:pt>
                <c:pt idx="47">
                  <c:v>4.0</c:v>
                </c:pt>
                <c:pt idx="48">
                  <c:v>4.0</c:v>
                </c:pt>
                <c:pt idx="49">
                  <c:v>4.0</c:v>
                </c:pt>
                <c:pt idx="50">
                  <c:v>4.0</c:v>
                </c:pt>
                <c:pt idx="51">
                  <c:v>4.0</c:v>
                </c:pt>
                <c:pt idx="52">
                  <c:v>4.0</c:v>
                </c:pt>
                <c:pt idx="53">
                  <c:v>4.0</c:v>
                </c:pt>
                <c:pt idx="54">
                  <c:v>4.0</c:v>
                </c:pt>
                <c:pt idx="55">
                  <c:v>4.0</c:v>
                </c:pt>
                <c:pt idx="56">
                  <c:v>4.0</c:v>
                </c:pt>
                <c:pt idx="57">
                  <c:v>4.0</c:v>
                </c:pt>
                <c:pt idx="58">
                  <c:v>4.0</c:v>
                </c:pt>
                <c:pt idx="59">
                  <c:v>4.0</c:v>
                </c:pt>
                <c:pt idx="60">
                  <c:v>4.0</c:v>
                </c:pt>
                <c:pt idx="61">
                  <c:v>4.0</c:v>
                </c:pt>
                <c:pt idx="62">
                  <c:v>4.0</c:v>
                </c:pt>
                <c:pt idx="63">
                  <c:v>4.0</c:v>
                </c:pt>
                <c:pt idx="64">
                  <c:v>4.0</c:v>
                </c:pt>
                <c:pt idx="65">
                  <c:v>4.0</c:v>
                </c:pt>
                <c:pt idx="66">
                  <c:v>4.0</c:v>
                </c:pt>
                <c:pt idx="67">
                  <c:v>4.0</c:v>
                </c:pt>
                <c:pt idx="68">
                  <c:v>4.0</c:v>
                </c:pt>
                <c:pt idx="69">
                  <c:v>4.0</c:v>
                </c:pt>
                <c:pt idx="70">
                  <c:v>4.0</c:v>
                </c:pt>
                <c:pt idx="71">
                  <c:v>4.0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</c:numCache>
            </c:numRef>
          </c:val>
          <c:smooth val="0"/>
        </c:ser>
        <c:ser>
          <c:idx val="6"/>
          <c:order val="1"/>
          <c:tx>
            <c:strRef>
              <c:f>Regelung_2!$G$12</c:f>
              <c:strCache>
                <c:ptCount val="1"/>
                <c:pt idx="0">
                  <c:v>f(k)/fN</c:v>
                </c:pt>
              </c:strCache>
            </c:strRef>
          </c:tx>
          <c:val>
            <c:numRef>
              <c:f>Regelung_2!$G$13:$G$113</c:f>
              <c:numCache>
                <c:formatCode>0.00</c:formatCode>
                <c:ptCount val="101"/>
                <c:pt idx="0">
                  <c:v>0.999870354420685</c:v>
                </c:pt>
                <c:pt idx="1">
                  <c:v>0.999884925054075</c:v>
                </c:pt>
                <c:pt idx="2">
                  <c:v>0.999928897478882</c:v>
                </c:pt>
                <c:pt idx="3">
                  <c:v>0.999956067165892</c:v>
                </c:pt>
                <c:pt idx="4">
                  <c:v>0.999972854775296</c:v>
                </c:pt>
                <c:pt idx="5">
                  <c:v>0.999983227505368</c:v>
                </c:pt>
                <c:pt idx="6">
                  <c:v>0.999989636609045</c:v>
                </c:pt>
                <c:pt idx="7">
                  <c:v>0.999993596666778</c:v>
                </c:pt>
                <c:pt idx="8">
                  <c:v>0.999996043507716</c:v>
                </c:pt>
                <c:pt idx="9">
                  <c:v>0.999997555362082</c:v>
                </c:pt>
                <c:pt idx="10">
                  <c:v>0.999998489506836</c:v>
                </c:pt>
                <c:pt idx="11">
                  <c:v>0.993255774653499</c:v>
                </c:pt>
                <c:pt idx="12">
                  <c:v>0.982346293164342</c:v>
                </c:pt>
                <c:pt idx="13">
                  <c:v>0.96886224941634</c:v>
                </c:pt>
                <c:pt idx="14">
                  <c:v>0.953787434837141</c:v>
                </c:pt>
                <c:pt idx="15">
                  <c:v>0.937729714589728</c:v>
                </c:pt>
                <c:pt idx="16">
                  <c:v>0.921064676472474</c:v>
                </c:pt>
                <c:pt idx="17">
                  <c:v>0.904024388718399</c:v>
                </c:pt>
                <c:pt idx="18">
                  <c:v>0.886752241674605</c:v>
                </c:pt>
                <c:pt idx="19">
                  <c:v>0.869336833385618</c:v>
                </c:pt>
                <c:pt idx="20">
                  <c:v>0.851832906821608</c:v>
                </c:pt>
                <c:pt idx="21">
                  <c:v>0.834274286575419</c:v>
                </c:pt>
                <c:pt idx="22">
                  <c:v>0.816681872190455</c:v>
                </c:pt>
                <c:pt idx="23">
                  <c:v>0.799068577079051</c:v>
                </c:pt>
                <c:pt idx="24">
                  <c:v>0.781442380181939</c:v>
                </c:pt>
                <c:pt idx="25">
                  <c:v>0.763808211527958</c:v>
                </c:pt>
                <c:pt idx="26">
                  <c:v>0.746169117283904</c:v>
                </c:pt>
                <c:pt idx="27">
                  <c:v>0.728526979615678</c:v>
                </c:pt>
                <c:pt idx="28">
                  <c:v>0.710882961476165</c:v>
                </c:pt>
                <c:pt idx="29">
                  <c:v>0.693237781430834</c:v>
                </c:pt>
                <c:pt idx="30">
                  <c:v>0.675591883466998</c:v>
                </c:pt>
                <c:pt idx="31">
                  <c:v>0.657945541915593</c:v>
                </c:pt>
                <c:pt idx="32">
                  <c:v>0.640298926280248</c:v>
                </c:pt>
                <c:pt idx="33">
                  <c:v>0.622652141293886</c:v>
                </c:pt>
                <c:pt idx="34">
                  <c:v>0.605005251668898</c:v>
                </c:pt>
                <c:pt idx="35">
                  <c:v>0.587358297389783</c:v>
                </c:pt>
                <c:pt idx="36">
                  <c:v>0.569711303162169</c:v>
                </c:pt>
                <c:pt idx="37">
                  <c:v>0.552064284251171</c:v>
                </c:pt>
                <c:pt idx="38">
                  <c:v>0.534417250088802</c:v>
                </c:pt>
                <c:pt idx="39">
                  <c:v>0.516770206502912</c:v>
                </c:pt>
                <c:pt idx="40">
                  <c:v>0.499123157094418</c:v>
                </c:pt>
                <c:pt idx="41">
                  <c:v>0.488219396131059</c:v>
                </c:pt>
                <c:pt idx="42">
                  <c:v>0.481482179025017</c:v>
                </c:pt>
                <c:pt idx="43">
                  <c:v>0.477319386527413</c:v>
                </c:pt>
                <c:pt idx="44">
                  <c:v>0.474747279809556</c:v>
                </c:pt>
                <c:pt idx="45">
                  <c:v>0.473158026208313</c:v>
                </c:pt>
                <c:pt idx="46">
                  <c:v>0.472176058006322</c:v>
                </c:pt>
                <c:pt idx="47">
                  <c:v>0.471569319378221</c:v>
                </c:pt>
                <c:pt idx="48">
                  <c:v>0.471194427643354</c:v>
                </c:pt>
                <c:pt idx="49">
                  <c:v>0.470962789494136</c:v>
                </c:pt>
                <c:pt idx="50">
                  <c:v>0.470819664887263</c:v>
                </c:pt>
                <c:pt idx="51">
                  <c:v>0.47073123103834</c:v>
                </c:pt>
                <c:pt idx="52">
                  <c:v>0.470676589521371</c:v>
                </c:pt>
                <c:pt idx="53">
                  <c:v>0.470642827614441</c:v>
                </c:pt>
                <c:pt idx="54">
                  <c:v>0.470621966803418</c:v>
                </c:pt>
                <c:pt idx="55">
                  <c:v>0.47060907732305</c:v>
                </c:pt>
                <c:pt idx="56">
                  <c:v>0.470601113169405</c:v>
                </c:pt>
                <c:pt idx="57">
                  <c:v>0.470596192277214</c:v>
                </c:pt>
                <c:pt idx="58">
                  <c:v>0.470593151755769</c:v>
                </c:pt>
                <c:pt idx="59">
                  <c:v>0.470591273078021</c:v>
                </c:pt>
                <c:pt idx="60">
                  <c:v>0.470590112280393</c:v>
                </c:pt>
                <c:pt idx="61">
                  <c:v>0.470589395046618</c:v>
                </c:pt>
                <c:pt idx="62">
                  <c:v>0.470588951882129</c:v>
                </c:pt>
                <c:pt idx="63">
                  <c:v>0.470588678059602</c:v>
                </c:pt>
                <c:pt idx="64">
                  <c:v>0.470588508870107</c:v>
                </c:pt>
                <c:pt idx="65">
                  <c:v>0.470588404331282</c:v>
                </c:pt>
                <c:pt idx="66">
                  <c:v>0.470588339738821</c:v>
                </c:pt>
                <c:pt idx="67">
                  <c:v>0.470588299828423</c:v>
                </c:pt>
                <c:pt idx="68">
                  <c:v>0.470588275168582</c:v>
                </c:pt>
                <c:pt idx="69">
                  <c:v>0.470588259931756</c:v>
                </c:pt>
                <c:pt idx="70">
                  <c:v>0.470588250517225</c:v>
                </c:pt>
                <c:pt idx="71">
                  <c:v>0.470588244700173</c:v>
                </c:pt>
                <c:pt idx="72">
                  <c:v>0.740319922818232</c:v>
                </c:pt>
                <c:pt idx="73">
                  <c:v>0.906981763807316</c:v>
                </c:pt>
                <c:pt idx="74">
                  <c:v>1.009958801712791</c:v>
                </c:pt>
                <c:pt idx="75">
                  <c:v>1.073586266001273</c:v>
                </c:pt>
                <c:pt idx="76">
                  <c:v>1.112900411116791</c:v>
                </c:pt>
                <c:pt idx="77">
                  <c:v>1.137191839723098</c:v>
                </c:pt>
                <c:pt idx="78">
                  <c:v>1.15220103048641</c:v>
                </c:pt>
                <c:pt idx="79">
                  <c:v>1.161474911039938</c:v>
                </c:pt>
                <c:pt idx="80">
                  <c:v>1.167205057446722</c:v>
                </c:pt>
                <c:pt idx="81">
                  <c:v>1.170745600982264</c:v>
                </c:pt>
                <c:pt idx="82">
                  <c:v>1.172933232438281</c:v>
                </c:pt>
                <c:pt idx="83">
                  <c:v>1.174284926419533</c:v>
                </c:pt>
                <c:pt idx="84">
                  <c:v>1.175120111255594</c:v>
                </c:pt>
                <c:pt idx="85">
                  <c:v>1.175636155360296</c:v>
                </c:pt>
                <c:pt idx="86">
                  <c:v>1.175955008752383</c:v>
                </c:pt>
                <c:pt idx="87">
                  <c:v>1.176152021923773</c:v>
                </c:pt>
                <c:pt idx="88">
                  <c:v>1.176273752445277</c:v>
                </c:pt>
                <c:pt idx="89">
                  <c:v>1.176348967314215</c:v>
                </c:pt>
                <c:pt idx="90">
                  <c:v>1.176395441086278</c:v>
                </c:pt>
                <c:pt idx="91">
                  <c:v>1.176424156306025</c:v>
                </c:pt>
                <c:pt idx="92">
                  <c:v>1.176441898869378</c:v>
                </c:pt>
                <c:pt idx="93">
                  <c:v>1.176452861646509</c:v>
                </c:pt>
                <c:pt idx="94">
                  <c:v>1.176459635328531</c:v>
                </c:pt>
                <c:pt idx="95">
                  <c:v>1.176463820651976</c:v>
                </c:pt>
                <c:pt idx="96">
                  <c:v>1.176466406680118</c:v>
                </c:pt>
                <c:pt idx="97">
                  <c:v>1.17646800453549</c:v>
                </c:pt>
                <c:pt idx="98">
                  <c:v>1.176468991818555</c:v>
                </c:pt>
                <c:pt idx="99">
                  <c:v>1.176469601841132</c:v>
                </c:pt>
                <c:pt idx="100">
                  <c:v>1.176469978761953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Regelung_2!$R$12</c:f>
              <c:strCache>
                <c:ptCount val="1"/>
                <c:pt idx="0">
                  <c:v>u1/uN</c:v>
                </c:pt>
              </c:strCache>
            </c:strRef>
          </c:tx>
          <c:val>
            <c:numRef>
              <c:f>Regelung_2!$R$14:$R$113</c:f>
              <c:numCache>
                <c:formatCode>0.00</c:formatCode>
                <c:ptCount val="100"/>
                <c:pt idx="0">
                  <c:v>1.000172612418887</c:v>
                </c:pt>
                <c:pt idx="1">
                  <c:v>1.000106653781677</c:v>
                </c:pt>
                <c:pt idx="2">
                  <c:v>1.000065899251162</c:v>
                </c:pt>
                <c:pt idx="3">
                  <c:v>1.000040717837056</c:v>
                </c:pt>
                <c:pt idx="4">
                  <c:v>1.000025158741948</c:v>
                </c:pt>
                <c:pt idx="5">
                  <c:v>1.000015545086433</c:v>
                </c:pt>
                <c:pt idx="6">
                  <c:v>1.000009604999832</c:v>
                </c:pt>
                <c:pt idx="7">
                  <c:v>1.000005934738426</c:v>
                </c:pt>
                <c:pt idx="8">
                  <c:v>1.000003666956876</c:v>
                </c:pt>
                <c:pt idx="9">
                  <c:v>1.000002265739746</c:v>
                </c:pt>
                <c:pt idx="10">
                  <c:v>1.010116338019752</c:v>
                </c:pt>
                <c:pt idx="11">
                  <c:v>1.026480560253487</c:v>
                </c:pt>
                <c:pt idx="12">
                  <c:v>1.04670662587549</c:v>
                </c:pt>
                <c:pt idx="13">
                  <c:v>1.069318847744289</c:v>
                </c:pt>
                <c:pt idx="14">
                  <c:v>1.093405428115408</c:v>
                </c:pt>
                <c:pt idx="15">
                  <c:v>1.118402985291288</c:v>
                </c:pt>
                <c:pt idx="16">
                  <c:v>1.143963416922401</c:v>
                </c:pt>
                <c:pt idx="17">
                  <c:v>1.169871637488092</c:v>
                </c:pt>
                <c:pt idx="18">
                  <c:v>1.195994749921573</c:v>
                </c:pt>
                <c:pt idx="19">
                  <c:v>1.222250639767588</c:v>
                </c:pt>
                <c:pt idx="20">
                  <c:v>1.248588570136871</c:v>
                </c:pt>
                <c:pt idx="21">
                  <c:v>1.274977191714318</c:v>
                </c:pt>
                <c:pt idx="22">
                  <c:v>1.301397134381423</c:v>
                </c:pt>
                <c:pt idx="23">
                  <c:v>1.327836429727091</c:v>
                </c:pt>
                <c:pt idx="24">
                  <c:v>1.354287682708063</c:v>
                </c:pt>
                <c:pt idx="25">
                  <c:v>1.380746324074144</c:v>
                </c:pt>
                <c:pt idx="26">
                  <c:v>1.407209530576483</c:v>
                </c:pt>
                <c:pt idx="27">
                  <c:v>1.433675557785752</c:v>
                </c:pt>
                <c:pt idx="28">
                  <c:v>1.460143327853749</c:v>
                </c:pt>
                <c:pt idx="29">
                  <c:v>1.486612174799502</c:v>
                </c:pt>
                <c:pt idx="30">
                  <c:v>1.51308168712661</c:v>
                </c:pt>
                <c:pt idx="31">
                  <c:v>1.539551610579628</c:v>
                </c:pt>
                <c:pt idx="32">
                  <c:v>1.56602178805917</c:v>
                </c:pt>
                <c:pt idx="33">
                  <c:v>1.592492122496653</c:v>
                </c:pt>
                <c:pt idx="34">
                  <c:v>1.618962553915325</c:v>
                </c:pt>
                <c:pt idx="35">
                  <c:v>1.645433045256746</c:v>
                </c:pt>
                <c:pt idx="36">
                  <c:v>1.671903573623243</c:v>
                </c:pt>
                <c:pt idx="37">
                  <c:v>1.698374124866798</c:v>
                </c:pt>
                <c:pt idx="38">
                  <c:v>1.724844690245631</c:v>
                </c:pt>
                <c:pt idx="39">
                  <c:v>1.751315264358373</c:v>
                </c:pt>
                <c:pt idx="40">
                  <c:v>1.767670905803411</c:v>
                </c:pt>
                <c:pt idx="41">
                  <c:v>1.777776731462474</c:v>
                </c:pt>
                <c:pt idx="42">
                  <c:v>1.78402092020888</c:v>
                </c:pt>
                <c:pt idx="43">
                  <c:v>1.787879080285666</c:v>
                </c:pt>
                <c:pt idx="44">
                  <c:v>1.79026296068753</c:v>
                </c:pt>
                <c:pt idx="45">
                  <c:v>1.791735912990517</c:v>
                </c:pt>
                <c:pt idx="46">
                  <c:v>1.792646020932668</c:v>
                </c:pt>
                <c:pt idx="47">
                  <c:v>1.793208358534969</c:v>
                </c:pt>
                <c:pt idx="48">
                  <c:v>1.793555815758795</c:v>
                </c:pt>
                <c:pt idx="49">
                  <c:v>1.793770502669105</c:v>
                </c:pt>
                <c:pt idx="50">
                  <c:v>1.793903153442489</c:v>
                </c:pt>
                <c:pt idx="51">
                  <c:v>1.793985115717944</c:v>
                </c:pt>
                <c:pt idx="52">
                  <c:v>1.794035758578339</c:v>
                </c:pt>
                <c:pt idx="53">
                  <c:v>1.794067049794874</c:v>
                </c:pt>
                <c:pt idx="54">
                  <c:v>1.794086384015425</c:v>
                </c:pt>
                <c:pt idx="55">
                  <c:v>1.794098330245893</c:v>
                </c:pt>
                <c:pt idx="56">
                  <c:v>1.794105711584179</c:v>
                </c:pt>
                <c:pt idx="57">
                  <c:v>1.794110272366347</c:v>
                </c:pt>
                <c:pt idx="58">
                  <c:v>1.79411309038297</c:v>
                </c:pt>
                <c:pt idx="59">
                  <c:v>1.794114831579411</c:v>
                </c:pt>
                <c:pt idx="60">
                  <c:v>1.794115907430073</c:v>
                </c:pt>
                <c:pt idx="61">
                  <c:v>1.794116572176807</c:v>
                </c:pt>
                <c:pt idx="62">
                  <c:v>1.794116982910596</c:v>
                </c:pt>
                <c:pt idx="63">
                  <c:v>1.794117236694839</c:v>
                </c:pt>
                <c:pt idx="64">
                  <c:v>1.794117393503076</c:v>
                </c:pt>
                <c:pt idx="65">
                  <c:v>1.794117490391769</c:v>
                </c:pt>
                <c:pt idx="66">
                  <c:v>1.794117550257366</c:v>
                </c:pt>
                <c:pt idx="67">
                  <c:v>1.794117587247127</c:v>
                </c:pt>
                <c:pt idx="68">
                  <c:v>1.794117610102366</c:v>
                </c:pt>
                <c:pt idx="69">
                  <c:v>1.794117624224163</c:v>
                </c:pt>
                <c:pt idx="70">
                  <c:v>1.794117632949741</c:v>
                </c:pt>
                <c:pt idx="71">
                  <c:v>1.389520115772652</c:v>
                </c:pt>
                <c:pt idx="72">
                  <c:v>1.139527354289026</c:v>
                </c:pt>
                <c:pt idx="73">
                  <c:v>0.985061797430814</c:v>
                </c:pt>
                <c:pt idx="74">
                  <c:v>0.889620600998091</c:v>
                </c:pt>
                <c:pt idx="75">
                  <c:v>0.830649383324814</c:v>
                </c:pt>
                <c:pt idx="76">
                  <c:v>0.794212240415353</c:v>
                </c:pt>
                <c:pt idx="77">
                  <c:v>0.771698454270386</c:v>
                </c:pt>
                <c:pt idx="78">
                  <c:v>0.757787633440092</c:v>
                </c:pt>
                <c:pt idx="79">
                  <c:v>0.749192413829916</c:v>
                </c:pt>
                <c:pt idx="80">
                  <c:v>0.743881598526605</c:v>
                </c:pt>
                <c:pt idx="81">
                  <c:v>0.740600151342579</c:v>
                </c:pt>
                <c:pt idx="82">
                  <c:v>0.7385726103707</c:v>
                </c:pt>
                <c:pt idx="83">
                  <c:v>0.737319833116608</c:v>
                </c:pt>
                <c:pt idx="84">
                  <c:v>0.736545766959556</c:v>
                </c:pt>
                <c:pt idx="85">
                  <c:v>0.736067486871426</c:v>
                </c:pt>
                <c:pt idx="86">
                  <c:v>0.735771967114339</c:v>
                </c:pt>
                <c:pt idx="87">
                  <c:v>0.735589371332085</c:v>
                </c:pt>
                <c:pt idx="88">
                  <c:v>0.735476549028677</c:v>
                </c:pt>
                <c:pt idx="89">
                  <c:v>0.735406838370582</c:v>
                </c:pt>
                <c:pt idx="90">
                  <c:v>0.735363765540962</c:v>
                </c:pt>
                <c:pt idx="91">
                  <c:v>0.735337151695933</c:v>
                </c:pt>
                <c:pt idx="92">
                  <c:v>0.735320707530237</c:v>
                </c:pt>
                <c:pt idx="93">
                  <c:v>0.735310547007203</c:v>
                </c:pt>
                <c:pt idx="94">
                  <c:v>0.735304269022036</c:v>
                </c:pt>
                <c:pt idx="95">
                  <c:v>0.735300389979824</c:v>
                </c:pt>
                <c:pt idx="96">
                  <c:v>0.735297993196765</c:v>
                </c:pt>
                <c:pt idx="97">
                  <c:v>0.735296512272167</c:v>
                </c:pt>
                <c:pt idx="98">
                  <c:v>0.735295597238302</c:v>
                </c:pt>
                <c:pt idx="99">
                  <c:v>0.73529503185707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4673944"/>
        <c:axId val="2084670952"/>
      </c:lineChart>
      <c:catAx>
        <c:axId val="2084673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670952"/>
        <c:crosses val="autoZero"/>
        <c:auto val="1"/>
        <c:lblAlgn val="ctr"/>
        <c:lblOffset val="100"/>
        <c:noMultiLvlLbl val="0"/>
      </c:catAx>
      <c:valAx>
        <c:axId val="2084670952"/>
        <c:scaling>
          <c:orientation val="minMax"/>
          <c:max val="5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aseline="0"/>
            </a:pPr>
            <a:endParaRPr lang="de-DE"/>
          </a:p>
        </c:txPr>
        <c:crossAx val="2084673944"/>
        <c:crosses val="autoZero"/>
        <c:crossBetween val="between"/>
        <c:majorUnit val="1.0"/>
      </c:valAx>
    </c:plotArea>
    <c:legend>
      <c:legendPos val="r"/>
      <c:layout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4" Type="http://schemas.openxmlformats.org/officeDocument/2006/relationships/chart" Target="../charts/chart25.xml"/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Relationship Id="rId3" Type="http://schemas.openxmlformats.org/officeDocument/2006/relationships/chart" Target="../charts/chart2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chart" Target="../charts/chart30.xml"/><Relationship Id="rId3" Type="http://schemas.openxmlformats.org/officeDocument/2006/relationships/chart" Target="../charts/chart3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chart" Target="../charts/chart32.xml"/><Relationship Id="rId3" Type="http://schemas.openxmlformats.org/officeDocument/2006/relationships/chart" Target="../charts/chart3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Relationship Id="rId2" Type="http://schemas.openxmlformats.org/officeDocument/2006/relationships/chart" Target="../charts/chart3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4" Type="http://schemas.openxmlformats.org/officeDocument/2006/relationships/chart" Target="../charts/chart41.xml"/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Relationship Id="rId2" Type="http://schemas.openxmlformats.org/officeDocument/2006/relationships/chart" Target="../charts/chart43.xml"/><Relationship Id="rId3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Relationship Id="rId2" Type="http://schemas.openxmlformats.org/officeDocument/2006/relationships/chart" Target="../charts/chart46.xml"/><Relationship Id="rId3" Type="http://schemas.openxmlformats.org/officeDocument/2006/relationships/chart" Target="../charts/chart4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Relationship Id="rId2" Type="http://schemas.openxmlformats.org/officeDocument/2006/relationships/image" Target="../media/image2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Relationship Id="rId2" Type="http://schemas.openxmlformats.org/officeDocument/2006/relationships/chart" Target="../charts/chart5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Relationship Id="rId2" Type="http://schemas.openxmlformats.org/officeDocument/2006/relationships/chart" Target="../charts/chart5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Relationship Id="rId2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Relationship Id="rId3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Relationship Id="rId3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241300</xdr:colOff>
      <xdr:row>72</xdr:row>
      <xdr:rowOff>63500</xdr:rowOff>
    </xdr:from>
    <xdr:to>
      <xdr:col>26</xdr:col>
      <xdr:colOff>419100</xdr:colOff>
      <xdr:row>106</xdr:row>
      <xdr:rowOff>88900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107</xdr:row>
      <xdr:rowOff>12700</xdr:rowOff>
    </xdr:from>
    <xdr:to>
      <xdr:col>26</xdr:col>
      <xdr:colOff>482600</xdr:colOff>
      <xdr:row>141</xdr:row>
      <xdr:rowOff>25400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457200</xdr:colOff>
      <xdr:row>13</xdr:row>
      <xdr:rowOff>25400</xdr:rowOff>
    </xdr:from>
    <xdr:to>
      <xdr:col>32</xdr:col>
      <xdr:colOff>431800</xdr:colOff>
      <xdr:row>39</xdr:row>
      <xdr:rowOff>12700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495300</xdr:colOff>
      <xdr:row>73</xdr:row>
      <xdr:rowOff>76200</xdr:rowOff>
    </xdr:from>
    <xdr:to>
      <xdr:col>32</xdr:col>
      <xdr:colOff>469900</xdr:colOff>
      <xdr:row>95</xdr:row>
      <xdr:rowOff>63500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508000</xdr:colOff>
      <xdr:row>39</xdr:row>
      <xdr:rowOff>146050</xdr:rowOff>
    </xdr:from>
    <xdr:to>
      <xdr:col>32</xdr:col>
      <xdr:colOff>520700</xdr:colOff>
      <xdr:row>54</xdr:row>
      <xdr:rowOff>31750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546100</xdr:colOff>
      <xdr:row>54</xdr:row>
      <xdr:rowOff>25400</xdr:rowOff>
    </xdr:from>
    <xdr:to>
      <xdr:col>32</xdr:col>
      <xdr:colOff>558800</xdr:colOff>
      <xdr:row>68</xdr:row>
      <xdr:rowOff>101600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10</xdr:row>
      <xdr:rowOff>19050</xdr:rowOff>
    </xdr:from>
    <xdr:to>
      <xdr:col>22</xdr:col>
      <xdr:colOff>495300</xdr:colOff>
      <xdr:row>24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50800</xdr:colOff>
      <xdr:row>24</xdr:row>
      <xdr:rowOff>101600</xdr:rowOff>
    </xdr:from>
    <xdr:to>
      <xdr:col>22</xdr:col>
      <xdr:colOff>508000</xdr:colOff>
      <xdr:row>38</xdr:row>
      <xdr:rowOff>177800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63500</xdr:colOff>
      <xdr:row>39</xdr:row>
      <xdr:rowOff>25400</xdr:rowOff>
    </xdr:from>
    <xdr:to>
      <xdr:col>22</xdr:col>
      <xdr:colOff>520700</xdr:colOff>
      <xdr:row>53</xdr:row>
      <xdr:rowOff>101600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1</xdr:row>
      <xdr:rowOff>0</xdr:rowOff>
    </xdr:from>
    <xdr:to>
      <xdr:col>12</xdr:col>
      <xdr:colOff>508000</xdr:colOff>
      <xdr:row>18</xdr:row>
      <xdr:rowOff>38100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50800</xdr:colOff>
      <xdr:row>0</xdr:row>
      <xdr:rowOff>0</xdr:rowOff>
    </xdr:from>
    <xdr:to>
      <xdr:col>9</xdr:col>
      <xdr:colOff>419100</xdr:colOff>
      <xdr:row>8</xdr:row>
      <xdr:rowOff>12700</xdr:rowOff>
    </xdr:to>
    <xdr:pic>
      <xdr:nvPicPr>
        <xdr:cNvPr id="2" name="Bild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0700" y="0"/>
          <a:ext cx="4572000" cy="1536700"/>
        </a:xfrm>
        <a:prstGeom prst="rect">
          <a:avLst/>
        </a:prstGeom>
      </xdr:spPr>
    </xdr:pic>
    <xdr:clientData/>
  </xdr:twoCellAnchor>
  <xdr:twoCellAnchor>
    <xdr:from>
      <xdr:col>10</xdr:col>
      <xdr:colOff>184150</xdr:colOff>
      <xdr:row>13</xdr:row>
      <xdr:rowOff>12700</xdr:rowOff>
    </xdr:from>
    <xdr:to>
      <xdr:col>22</xdr:col>
      <xdr:colOff>88900</xdr:colOff>
      <xdr:row>31</xdr:row>
      <xdr:rowOff>114300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203200</xdr:colOff>
      <xdr:row>32</xdr:row>
      <xdr:rowOff>0</xdr:rowOff>
    </xdr:from>
    <xdr:to>
      <xdr:col>22</xdr:col>
      <xdr:colOff>107950</xdr:colOff>
      <xdr:row>50</xdr:row>
      <xdr:rowOff>101600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50800</xdr:colOff>
      <xdr:row>0</xdr:row>
      <xdr:rowOff>0</xdr:rowOff>
    </xdr:from>
    <xdr:to>
      <xdr:col>9</xdr:col>
      <xdr:colOff>419100</xdr:colOff>
      <xdr:row>8</xdr:row>
      <xdr:rowOff>12700</xdr:rowOff>
    </xdr:to>
    <xdr:pic>
      <xdr:nvPicPr>
        <xdr:cNvPr id="2" name="Bild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43300" y="0"/>
          <a:ext cx="4572000" cy="1536700"/>
        </a:xfrm>
        <a:prstGeom prst="rect">
          <a:avLst/>
        </a:prstGeom>
      </xdr:spPr>
    </xdr:pic>
    <xdr:clientData/>
  </xdr:twoCellAnchor>
  <xdr:twoCellAnchor>
    <xdr:from>
      <xdr:col>10</xdr:col>
      <xdr:colOff>184150</xdr:colOff>
      <xdr:row>14</xdr:row>
      <xdr:rowOff>12700</xdr:rowOff>
    </xdr:from>
    <xdr:to>
      <xdr:col>22</xdr:col>
      <xdr:colOff>88900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203200</xdr:colOff>
      <xdr:row>33</xdr:row>
      <xdr:rowOff>0</xdr:rowOff>
    </xdr:from>
    <xdr:to>
      <xdr:col>22</xdr:col>
      <xdr:colOff>107950</xdr:colOff>
      <xdr:row>51</xdr:row>
      <xdr:rowOff>101600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387350</xdr:colOff>
      <xdr:row>7</xdr:row>
      <xdr:rowOff>127000</xdr:rowOff>
    </xdr:from>
    <xdr:to>
      <xdr:col>26</xdr:col>
      <xdr:colOff>609600</xdr:colOff>
      <xdr:row>24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24</xdr:row>
      <xdr:rowOff>127000</xdr:rowOff>
    </xdr:from>
    <xdr:to>
      <xdr:col>26</xdr:col>
      <xdr:colOff>647700</xdr:colOff>
      <xdr:row>39</xdr:row>
      <xdr:rowOff>12700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8</xdr:row>
      <xdr:rowOff>12700</xdr:rowOff>
    </xdr:from>
    <xdr:to>
      <xdr:col>23</xdr:col>
      <xdr:colOff>317500</xdr:colOff>
      <xdr:row>24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88900</xdr:colOff>
      <xdr:row>24</xdr:row>
      <xdr:rowOff>152400</xdr:rowOff>
    </xdr:from>
    <xdr:to>
      <xdr:col>23</xdr:col>
      <xdr:colOff>355600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565150</xdr:colOff>
      <xdr:row>0</xdr:row>
      <xdr:rowOff>114300</xdr:rowOff>
    </xdr:from>
    <xdr:to>
      <xdr:col>32</xdr:col>
      <xdr:colOff>266700</xdr:colOff>
      <xdr:row>18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520700</xdr:colOff>
      <xdr:row>18</xdr:row>
      <xdr:rowOff>76200</xdr:rowOff>
    </xdr:from>
    <xdr:to>
      <xdr:col>32</xdr:col>
      <xdr:colOff>266700</xdr:colOff>
      <xdr:row>32</xdr:row>
      <xdr:rowOff>152400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546100</xdr:colOff>
      <xdr:row>48</xdr:row>
      <xdr:rowOff>50800</xdr:rowOff>
    </xdr:from>
    <xdr:to>
      <xdr:col>32</xdr:col>
      <xdr:colOff>254000</xdr:colOff>
      <xdr:row>62</xdr:row>
      <xdr:rowOff>127000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546100</xdr:colOff>
      <xdr:row>33</xdr:row>
      <xdr:rowOff>25400</xdr:rowOff>
    </xdr:from>
    <xdr:to>
      <xdr:col>32</xdr:col>
      <xdr:colOff>266700</xdr:colOff>
      <xdr:row>48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10</xdr:row>
      <xdr:rowOff>44450</xdr:rowOff>
    </xdr:from>
    <xdr:to>
      <xdr:col>24</xdr:col>
      <xdr:colOff>50800</xdr:colOff>
      <xdr:row>24</xdr:row>
      <xdr:rowOff>120650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76200</xdr:colOff>
      <xdr:row>24</xdr:row>
      <xdr:rowOff>152400</xdr:rowOff>
    </xdr:from>
    <xdr:to>
      <xdr:col>24</xdr:col>
      <xdr:colOff>63500</xdr:colOff>
      <xdr:row>39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76200</xdr:colOff>
      <xdr:row>39</xdr:row>
      <xdr:rowOff>88900</xdr:rowOff>
    </xdr:from>
    <xdr:to>
      <xdr:col>24</xdr:col>
      <xdr:colOff>12700</xdr:colOff>
      <xdr:row>53</xdr:row>
      <xdr:rowOff>165100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4</xdr:row>
      <xdr:rowOff>25400</xdr:rowOff>
    </xdr:from>
    <xdr:to>
      <xdr:col>19</xdr:col>
      <xdr:colOff>292100</xdr:colOff>
      <xdr:row>25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533400</xdr:colOff>
      <xdr:row>26</xdr:row>
      <xdr:rowOff>0</xdr:rowOff>
    </xdr:from>
    <xdr:to>
      <xdr:col>19</xdr:col>
      <xdr:colOff>292100</xdr:colOff>
      <xdr:row>42</xdr:row>
      <xdr:rowOff>63500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520700</xdr:colOff>
      <xdr:row>42</xdr:row>
      <xdr:rowOff>76200</xdr:rowOff>
    </xdr:from>
    <xdr:to>
      <xdr:col>19</xdr:col>
      <xdr:colOff>279400</xdr:colOff>
      <xdr:row>59</xdr:row>
      <xdr:rowOff>25400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241300</xdr:colOff>
      <xdr:row>72</xdr:row>
      <xdr:rowOff>63500</xdr:rowOff>
    </xdr:from>
    <xdr:to>
      <xdr:col>26</xdr:col>
      <xdr:colOff>419100</xdr:colOff>
      <xdr:row>106</xdr:row>
      <xdr:rowOff>88900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107</xdr:row>
      <xdr:rowOff>12700</xdr:rowOff>
    </xdr:from>
    <xdr:to>
      <xdr:col>26</xdr:col>
      <xdr:colOff>482600</xdr:colOff>
      <xdr:row>141</xdr:row>
      <xdr:rowOff>25400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143</xdr:row>
      <xdr:rowOff>0</xdr:rowOff>
    </xdr:from>
    <xdr:to>
      <xdr:col>26</xdr:col>
      <xdr:colOff>177800</xdr:colOff>
      <xdr:row>177</xdr:row>
      <xdr:rowOff>25400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13</xdr:row>
      <xdr:rowOff>177800</xdr:rowOff>
    </xdr:from>
    <xdr:to>
      <xdr:col>19</xdr:col>
      <xdr:colOff>787400</xdr:colOff>
      <xdr:row>32</xdr:row>
      <xdr:rowOff>88900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977900</xdr:colOff>
      <xdr:row>0</xdr:row>
      <xdr:rowOff>0</xdr:rowOff>
    </xdr:from>
    <xdr:to>
      <xdr:col>10</xdr:col>
      <xdr:colOff>444500</xdr:colOff>
      <xdr:row>8</xdr:row>
      <xdr:rowOff>88900</xdr:rowOff>
    </xdr:to>
    <xdr:pic>
      <xdr:nvPicPr>
        <xdr:cNvPr id="5" name="Bild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9600" y="0"/>
          <a:ext cx="5397500" cy="16383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6</xdr:row>
      <xdr:rowOff>0</xdr:rowOff>
    </xdr:from>
    <xdr:to>
      <xdr:col>18</xdr:col>
      <xdr:colOff>596900</xdr:colOff>
      <xdr:row>27</xdr:row>
      <xdr:rowOff>139700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18</xdr:col>
      <xdr:colOff>584200</xdr:colOff>
      <xdr:row>50</xdr:row>
      <xdr:rowOff>139700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</xdr:colOff>
      <xdr:row>12</xdr:row>
      <xdr:rowOff>127000</xdr:rowOff>
    </xdr:from>
    <xdr:to>
      <xdr:col>23</xdr:col>
      <xdr:colOff>609600</xdr:colOff>
      <xdr:row>34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35</xdr:row>
      <xdr:rowOff>0</xdr:rowOff>
    </xdr:from>
    <xdr:to>
      <xdr:col>23</xdr:col>
      <xdr:colOff>584200</xdr:colOff>
      <xdr:row>56</xdr:row>
      <xdr:rowOff>139700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</xdr:colOff>
      <xdr:row>12</xdr:row>
      <xdr:rowOff>127000</xdr:rowOff>
    </xdr:from>
    <xdr:to>
      <xdr:col>26</xdr:col>
      <xdr:colOff>609600</xdr:colOff>
      <xdr:row>34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35</xdr:row>
      <xdr:rowOff>0</xdr:rowOff>
    </xdr:from>
    <xdr:to>
      <xdr:col>26</xdr:col>
      <xdr:colOff>584200</xdr:colOff>
      <xdr:row>56</xdr:row>
      <xdr:rowOff>139700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114</xdr:row>
      <xdr:rowOff>114300</xdr:rowOff>
    </xdr:from>
    <xdr:to>
      <xdr:col>15</xdr:col>
      <xdr:colOff>12700</xdr:colOff>
      <xdr:row>139</xdr:row>
      <xdr:rowOff>50800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177800</xdr:colOff>
      <xdr:row>139</xdr:row>
      <xdr:rowOff>165100</xdr:rowOff>
    </xdr:from>
    <xdr:to>
      <xdr:col>15</xdr:col>
      <xdr:colOff>114300</xdr:colOff>
      <xdr:row>166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168</xdr:row>
      <xdr:rowOff>0</xdr:rowOff>
    </xdr:from>
    <xdr:to>
      <xdr:col>14</xdr:col>
      <xdr:colOff>762000</xdr:colOff>
      <xdr:row>194</xdr:row>
      <xdr:rowOff>25400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114</xdr:row>
      <xdr:rowOff>114300</xdr:rowOff>
    </xdr:from>
    <xdr:to>
      <xdr:col>15</xdr:col>
      <xdr:colOff>12700</xdr:colOff>
      <xdr:row>139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177800</xdr:colOff>
      <xdr:row>139</xdr:row>
      <xdr:rowOff>165100</xdr:rowOff>
    </xdr:from>
    <xdr:to>
      <xdr:col>15</xdr:col>
      <xdr:colOff>114300</xdr:colOff>
      <xdr:row>166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168</xdr:row>
      <xdr:rowOff>0</xdr:rowOff>
    </xdr:from>
    <xdr:to>
      <xdr:col>14</xdr:col>
      <xdr:colOff>762000</xdr:colOff>
      <xdr:row>194</xdr:row>
      <xdr:rowOff>25400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368300</xdr:colOff>
      <xdr:row>12</xdr:row>
      <xdr:rowOff>177800</xdr:rowOff>
    </xdr:from>
    <xdr:to>
      <xdr:col>21</xdr:col>
      <xdr:colOff>254000</xdr:colOff>
      <xdr:row>42</xdr:row>
      <xdr:rowOff>25400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406400</xdr:colOff>
      <xdr:row>43</xdr:row>
      <xdr:rowOff>101600</xdr:rowOff>
    </xdr:from>
    <xdr:to>
      <xdr:col>21</xdr:col>
      <xdr:colOff>292100</xdr:colOff>
      <xdr:row>65</xdr:row>
      <xdr:rowOff>88900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12</xdr:row>
      <xdr:rowOff>177800</xdr:rowOff>
    </xdr:from>
    <xdr:to>
      <xdr:col>24</xdr:col>
      <xdr:colOff>787400</xdr:colOff>
      <xdr:row>38</xdr:row>
      <xdr:rowOff>165100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101600</xdr:colOff>
      <xdr:row>39</xdr:row>
      <xdr:rowOff>12700</xdr:rowOff>
    </xdr:from>
    <xdr:to>
      <xdr:col>24</xdr:col>
      <xdr:colOff>812800</xdr:colOff>
      <xdr:row>61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76200</xdr:colOff>
      <xdr:row>13</xdr:row>
      <xdr:rowOff>177800</xdr:rowOff>
    </xdr:from>
    <xdr:to>
      <xdr:col>26</xdr:col>
      <xdr:colOff>787400</xdr:colOff>
      <xdr:row>39</xdr:row>
      <xdr:rowOff>165100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101600</xdr:colOff>
      <xdr:row>40</xdr:row>
      <xdr:rowOff>12700</xdr:rowOff>
    </xdr:from>
    <xdr:to>
      <xdr:col>26</xdr:col>
      <xdr:colOff>812800</xdr:colOff>
      <xdr:row>62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76200</xdr:colOff>
      <xdr:row>13</xdr:row>
      <xdr:rowOff>177800</xdr:rowOff>
    </xdr:from>
    <xdr:to>
      <xdr:col>31</xdr:col>
      <xdr:colOff>787400</xdr:colOff>
      <xdr:row>39</xdr:row>
      <xdr:rowOff>165100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101600</xdr:colOff>
      <xdr:row>40</xdr:row>
      <xdr:rowOff>12700</xdr:rowOff>
    </xdr:from>
    <xdr:to>
      <xdr:col>31</xdr:col>
      <xdr:colOff>812800</xdr:colOff>
      <xdr:row>62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12</xdr:row>
      <xdr:rowOff>177800</xdr:rowOff>
    </xdr:from>
    <xdr:to>
      <xdr:col>24</xdr:col>
      <xdr:colOff>787400</xdr:colOff>
      <xdr:row>38</xdr:row>
      <xdr:rowOff>165100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101600</xdr:colOff>
      <xdr:row>39</xdr:row>
      <xdr:rowOff>12700</xdr:rowOff>
    </xdr:from>
    <xdr:to>
      <xdr:col>24</xdr:col>
      <xdr:colOff>812800</xdr:colOff>
      <xdr:row>61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"/>
  <sheetViews>
    <sheetView workbookViewId="0">
      <selection activeCell="B13" sqref="B13:B113"/>
    </sheetView>
  </sheetViews>
  <sheetFormatPr baseColWidth="10" defaultRowHeight="15" x14ac:dyDescent="0"/>
  <cols>
    <col min="2" max="2" width="14.33203125" customWidth="1"/>
    <col min="3" max="3" width="10.5" customWidth="1"/>
    <col min="4" max="4" width="10.83203125" customWidth="1"/>
    <col min="13" max="13" width="2.5" customWidth="1"/>
  </cols>
  <sheetData>
    <row r="1" spans="1:20" ht="16" thickBot="1">
      <c r="A1" s="2" t="s">
        <v>0</v>
      </c>
      <c r="B1" s="2" t="s">
        <v>5</v>
      </c>
      <c r="C1" s="3" t="s">
        <v>4</v>
      </c>
      <c r="D1" s="3">
        <v>3000</v>
      </c>
      <c r="E1" s="3" t="s">
        <v>26</v>
      </c>
      <c r="F1" s="4"/>
      <c r="G1" s="2" t="s">
        <v>25</v>
      </c>
      <c r="H1" s="3"/>
      <c r="I1" s="3"/>
      <c r="J1" s="12"/>
      <c r="N1" t="s">
        <v>48</v>
      </c>
      <c r="S1" s="6">
        <v>60</v>
      </c>
    </row>
    <row r="2" spans="1:20">
      <c r="A2" s="5"/>
      <c r="B2" s="5" t="s">
        <v>6</v>
      </c>
      <c r="C2" s="6" t="s">
        <v>7</v>
      </c>
      <c r="D2" s="6">
        <v>3</v>
      </c>
      <c r="E2" s="6" t="s">
        <v>8</v>
      </c>
      <c r="F2" s="7"/>
      <c r="G2" s="5" t="s">
        <v>27</v>
      </c>
      <c r="H2" s="13" t="s">
        <v>28</v>
      </c>
      <c r="I2" s="14">
        <f>D3*60/(2*3.142*D1)</f>
        <v>0.14322087842138764</v>
      </c>
      <c r="J2" s="7" t="s">
        <v>32</v>
      </c>
      <c r="N2" s="21" t="s">
        <v>40</v>
      </c>
      <c r="O2" s="3"/>
      <c r="P2" s="3" t="s">
        <v>41</v>
      </c>
      <c r="Q2" s="3">
        <f>D1*D4/I3</f>
        <v>4800</v>
      </c>
      <c r="R2" s="3" t="s">
        <v>26</v>
      </c>
      <c r="S2" s="3"/>
      <c r="T2" s="4"/>
    </row>
    <row r="3" spans="1:20">
      <c r="A3" s="5"/>
      <c r="B3" s="5" t="s">
        <v>9</v>
      </c>
      <c r="C3" s="6" t="s">
        <v>10</v>
      </c>
      <c r="D3" s="6">
        <v>45</v>
      </c>
      <c r="E3" s="6" t="s">
        <v>11</v>
      </c>
      <c r="F3" s="7"/>
      <c r="G3" s="58" t="s">
        <v>31</v>
      </c>
      <c r="H3" s="13" t="s">
        <v>14</v>
      </c>
      <c r="I3" s="14">
        <f>D3/D2</f>
        <v>15</v>
      </c>
      <c r="J3" s="7" t="s">
        <v>3</v>
      </c>
      <c r="N3" s="5"/>
      <c r="O3" s="6"/>
      <c r="P3" s="6" t="s">
        <v>41</v>
      </c>
      <c r="Q3" s="6">
        <f>I6*D4*60/(2*3.142)</f>
        <v>4800</v>
      </c>
      <c r="R3" s="6" t="s">
        <v>26</v>
      </c>
      <c r="S3" s="6"/>
      <c r="T3" s="7"/>
    </row>
    <row r="4" spans="1:20">
      <c r="A4" s="5"/>
      <c r="B4" s="5" t="s">
        <v>12</v>
      </c>
      <c r="C4" s="6" t="s">
        <v>13</v>
      </c>
      <c r="D4" s="6">
        <v>24</v>
      </c>
      <c r="E4" s="6" t="s">
        <v>3</v>
      </c>
      <c r="F4" s="7"/>
      <c r="G4" s="5" t="s">
        <v>29</v>
      </c>
      <c r="H4" s="13" t="s">
        <v>30</v>
      </c>
      <c r="I4" s="14">
        <f>(D4-I3)/D2</f>
        <v>3</v>
      </c>
      <c r="J4" s="7" t="s">
        <v>33</v>
      </c>
      <c r="N4" s="5"/>
      <c r="O4" s="6"/>
      <c r="P4" s="6"/>
      <c r="Q4" s="6"/>
      <c r="R4" s="6"/>
      <c r="S4" s="6"/>
      <c r="T4" s="7"/>
    </row>
    <row r="5" spans="1:20" ht="16" thickBot="1">
      <c r="A5" s="8"/>
      <c r="B5" s="8" t="s">
        <v>15</v>
      </c>
      <c r="C5" s="9" t="s">
        <v>1</v>
      </c>
      <c r="D5" s="9">
        <v>60</v>
      </c>
      <c r="E5" s="10">
        <v>9.9999999999999995E-7</v>
      </c>
      <c r="F5" s="11" t="s">
        <v>2</v>
      </c>
      <c r="G5" s="8" t="s">
        <v>38</v>
      </c>
      <c r="H5" s="9" t="s">
        <v>4</v>
      </c>
      <c r="I5" s="15">
        <f>D1/60</f>
        <v>50</v>
      </c>
      <c r="J5" s="11" t="s">
        <v>35</v>
      </c>
      <c r="N5" s="5"/>
      <c r="O5" s="6" t="s">
        <v>53</v>
      </c>
      <c r="P5" s="6" t="s">
        <v>52</v>
      </c>
      <c r="Q5" s="6"/>
      <c r="R5" s="6"/>
      <c r="S5" s="6" t="s">
        <v>53</v>
      </c>
      <c r="T5" s="7" t="s">
        <v>52</v>
      </c>
    </row>
    <row r="6" spans="1:20" ht="16" thickBot="1">
      <c r="E6" s="1"/>
      <c r="G6" s="21" t="s">
        <v>42</v>
      </c>
      <c r="H6" s="3"/>
      <c r="I6" s="22">
        <f>2*3.142*D1/(I3*60)</f>
        <v>20.946666666666665</v>
      </c>
      <c r="J6" s="59" t="s">
        <v>37</v>
      </c>
      <c r="N6" s="5" t="s">
        <v>46</v>
      </c>
      <c r="O6" s="16">
        <f>I7*D5*E5/C9</f>
        <v>7.8977312000000008</v>
      </c>
      <c r="P6" s="29">
        <v>1</v>
      </c>
      <c r="Q6" s="6"/>
      <c r="R6" s="6" t="s">
        <v>49</v>
      </c>
      <c r="S6" s="14">
        <f>I6/O7</f>
        <v>2.354158177611239</v>
      </c>
      <c r="T6" s="7" t="s">
        <v>37</v>
      </c>
    </row>
    <row r="7" spans="1:20" ht="16" thickBot="1">
      <c r="A7" s="18" t="s">
        <v>18</v>
      </c>
      <c r="B7" s="19" t="s">
        <v>19</v>
      </c>
      <c r="C7" s="19" t="s">
        <v>20</v>
      </c>
      <c r="D7" s="24">
        <v>24</v>
      </c>
      <c r="E7" s="20" t="s">
        <v>3</v>
      </c>
      <c r="G7" s="23" t="s">
        <v>43</v>
      </c>
      <c r="H7" s="9"/>
      <c r="I7" s="17">
        <f>I6*I4*D2/I2</f>
        <v>1316.2885333333334</v>
      </c>
      <c r="J7" s="60" t="s">
        <v>44</v>
      </c>
      <c r="N7" s="5" t="s">
        <v>47</v>
      </c>
      <c r="O7" s="16">
        <f>O6+1</f>
        <v>8.8977312000000008</v>
      </c>
      <c r="P7" s="29">
        <v>1</v>
      </c>
      <c r="Q7" s="6"/>
      <c r="R7" s="6" t="s">
        <v>50</v>
      </c>
      <c r="S7" s="16">
        <f>I7/O7</f>
        <v>147.93529988109029</v>
      </c>
      <c r="T7" s="7" t="s">
        <v>44</v>
      </c>
    </row>
    <row r="8" spans="1:20" ht="16" thickBot="1">
      <c r="E8" s="1"/>
      <c r="N8" s="8"/>
      <c r="O8" s="9"/>
      <c r="P8" s="9"/>
      <c r="Q8" s="9"/>
      <c r="R8" s="9" t="s">
        <v>51</v>
      </c>
      <c r="S8" s="15">
        <f>O6/O7</f>
        <v>0.88761179928654177</v>
      </c>
      <c r="T8" s="30">
        <v>1</v>
      </c>
    </row>
    <row r="9" spans="1:20" ht="16" thickBot="1">
      <c r="A9" s="18" t="s">
        <v>16</v>
      </c>
      <c r="B9" s="19" t="s">
        <v>111</v>
      </c>
      <c r="C9" s="19">
        <v>0.01</v>
      </c>
      <c r="D9" s="25" t="s">
        <v>34</v>
      </c>
      <c r="E9" s="19" t="s">
        <v>69</v>
      </c>
      <c r="F9" s="19"/>
      <c r="G9" s="26"/>
    </row>
    <row r="10" spans="1:20" ht="16" thickBot="1">
      <c r="D10" s="1"/>
      <c r="N10" s="2" t="s">
        <v>96</v>
      </c>
      <c r="O10" s="3"/>
      <c r="P10" s="3"/>
      <c r="Q10" s="3"/>
      <c r="R10" s="4"/>
    </row>
    <row r="11" spans="1:20" ht="16" thickBot="1">
      <c r="A11" s="208" t="s">
        <v>36</v>
      </c>
      <c r="B11" s="209"/>
      <c r="C11" s="209"/>
      <c r="D11" s="209"/>
      <c r="E11" s="209"/>
      <c r="F11" s="210"/>
      <c r="G11" s="208" t="s">
        <v>45</v>
      </c>
      <c r="H11" s="209"/>
      <c r="I11" s="209"/>
      <c r="J11" s="209"/>
      <c r="K11" s="209"/>
      <c r="L11" s="210"/>
      <c r="N11" s="8" t="s">
        <v>82</v>
      </c>
      <c r="O11" s="9">
        <v>1</v>
      </c>
      <c r="P11" s="9" t="s">
        <v>83</v>
      </c>
      <c r="Q11" s="9"/>
      <c r="R11" s="11"/>
    </row>
    <row r="12" spans="1:20" ht="16" thickBot="1">
      <c r="A12" s="65" t="s">
        <v>17</v>
      </c>
      <c r="B12" s="66" t="s">
        <v>22</v>
      </c>
      <c r="C12" s="66" t="s">
        <v>23</v>
      </c>
      <c r="D12" s="66" t="s">
        <v>24</v>
      </c>
      <c r="E12" s="66" t="s">
        <v>21</v>
      </c>
      <c r="F12" s="67" t="s">
        <v>39</v>
      </c>
      <c r="G12" s="31" t="s">
        <v>55</v>
      </c>
      <c r="H12" s="66" t="s">
        <v>56</v>
      </c>
      <c r="I12" s="32" t="s">
        <v>57</v>
      </c>
      <c r="J12" s="13" t="s">
        <v>54</v>
      </c>
      <c r="O12" s="66" t="s">
        <v>22</v>
      </c>
    </row>
    <row r="13" spans="1:20" ht="16" thickBot="1">
      <c r="A13" s="68">
        <v>-1</v>
      </c>
      <c r="B13" s="69">
        <v>0</v>
      </c>
      <c r="C13" s="69"/>
      <c r="D13" s="69"/>
      <c r="E13" s="69"/>
      <c r="F13" s="70"/>
      <c r="G13" s="71">
        <v>0</v>
      </c>
      <c r="H13" s="72">
        <f>G13*60/(2*3.142)</f>
        <v>0</v>
      </c>
      <c r="I13" s="73">
        <f>H13/$D$1</f>
        <v>0</v>
      </c>
      <c r="J13" s="24" t="s">
        <v>59</v>
      </c>
      <c r="K13" s="24"/>
      <c r="L13" s="41"/>
      <c r="O13" s="69"/>
    </row>
    <row r="14" spans="1:20">
      <c r="A14" s="68">
        <v>0</v>
      </c>
      <c r="B14" s="69">
        <v>0.5</v>
      </c>
      <c r="C14" s="74">
        <f t="shared" ref="C14:C45" si="0">B14*$D$2</f>
        <v>1.5</v>
      </c>
      <c r="D14" s="75">
        <f t="shared" ref="D14:D45" si="1">$D$7-C14*$I$4</f>
        <v>19.5</v>
      </c>
      <c r="E14" s="69">
        <f>$D$1*(D14/$I$3)</f>
        <v>3900</v>
      </c>
      <c r="F14" s="70">
        <f>E14/$D$1</f>
        <v>1.3</v>
      </c>
      <c r="G14" s="76">
        <f t="shared" ref="G14:G45" si="2">($S$6*$D$7-$S$7*B14*$I$2+$S$8*G13)</f>
        <v>45.906084463419155</v>
      </c>
      <c r="H14" s="77">
        <f t="shared" ref="H14:H77" si="3">G14*60/(2*3.142)</f>
        <v>438.31398278248719</v>
      </c>
      <c r="I14" s="78">
        <f t="shared" ref="I14:I77" si="4">H14/$D$1</f>
        <v>0.14610466092749572</v>
      </c>
      <c r="O14" s="69">
        <v>0.5</v>
      </c>
    </row>
    <row r="15" spans="1:20">
      <c r="A15" s="68">
        <v>1</v>
      </c>
      <c r="B15" s="69">
        <v>0.5</v>
      </c>
      <c r="C15" s="74">
        <f t="shared" si="0"/>
        <v>1.5</v>
      </c>
      <c r="D15" s="75">
        <f t="shared" si="1"/>
        <v>19.5</v>
      </c>
      <c r="E15" s="69">
        <f t="shared" ref="E15:E78" si="5">$D$1*(D15/$I$3)</f>
        <v>3900</v>
      </c>
      <c r="F15" s="70">
        <f t="shared" ref="F15:F78" si="6">E15/$D$1</f>
        <v>1.3</v>
      </c>
      <c r="G15" s="76">
        <f t="shared" si="2"/>
        <v>86.652866692194593</v>
      </c>
      <c r="H15" s="77">
        <f t="shared" si="3"/>
        <v>827.36664569250092</v>
      </c>
      <c r="I15" s="78">
        <f t="shared" si="4"/>
        <v>0.27578888189750028</v>
      </c>
      <c r="O15" s="69">
        <v>0.5</v>
      </c>
    </row>
    <row r="16" spans="1:20">
      <c r="A16" s="68">
        <v>2</v>
      </c>
      <c r="B16" s="69">
        <v>0.5</v>
      </c>
      <c r="C16" s="74">
        <f t="shared" si="0"/>
        <v>1.5</v>
      </c>
      <c r="D16" s="75">
        <f t="shared" si="1"/>
        <v>19.5</v>
      </c>
      <c r="E16" s="69">
        <f t="shared" si="5"/>
        <v>3900</v>
      </c>
      <c r="F16" s="70">
        <f t="shared" si="6"/>
        <v>1.3</v>
      </c>
      <c r="G16" s="76">
        <f t="shared" si="2"/>
        <v>122.82019138141484</v>
      </c>
      <c r="H16" s="77">
        <f t="shared" si="3"/>
        <v>1172.6943798352786</v>
      </c>
      <c r="I16" s="78">
        <f t="shared" si="4"/>
        <v>0.39089812661175954</v>
      </c>
      <c r="O16" s="69">
        <v>0.5</v>
      </c>
    </row>
    <row r="17" spans="1:15">
      <c r="A17" s="68">
        <v>3</v>
      </c>
      <c r="B17" s="69">
        <v>0.5</v>
      </c>
      <c r="C17" s="74">
        <f t="shared" si="0"/>
        <v>1.5</v>
      </c>
      <c r="D17" s="75">
        <f t="shared" si="1"/>
        <v>19.5</v>
      </c>
      <c r="E17" s="69">
        <f t="shared" si="5"/>
        <v>3900</v>
      </c>
      <c r="F17" s="70">
        <f t="shared" si="6"/>
        <v>1.3</v>
      </c>
      <c r="G17" s="76">
        <f t="shared" si="2"/>
        <v>154.9227355241942</v>
      </c>
      <c r="H17" s="77">
        <f t="shared" si="3"/>
        <v>1479.2113512812941</v>
      </c>
      <c r="I17" s="78">
        <f t="shared" si="4"/>
        <v>0.49307045042709802</v>
      </c>
      <c r="O17" s="69">
        <v>0.5</v>
      </c>
    </row>
    <row r="18" spans="1:15">
      <c r="A18" s="68">
        <v>4</v>
      </c>
      <c r="B18" s="69">
        <v>0.5</v>
      </c>
      <c r="C18" s="74">
        <f t="shared" si="0"/>
        <v>1.5</v>
      </c>
      <c r="D18" s="75">
        <f t="shared" si="1"/>
        <v>19.5</v>
      </c>
      <c r="E18" s="69">
        <f t="shared" si="5"/>
        <v>3900</v>
      </c>
      <c r="F18" s="70">
        <f t="shared" si="6"/>
        <v>1.3</v>
      </c>
      <c r="G18" s="76">
        <f t="shared" si="2"/>
        <v>183.4173324924422</v>
      </c>
      <c r="H18" s="77">
        <f t="shared" si="3"/>
        <v>1751.2794318183533</v>
      </c>
      <c r="I18" s="78">
        <f t="shared" si="4"/>
        <v>0.5837598106061177</v>
      </c>
      <c r="O18" s="69">
        <v>0.5</v>
      </c>
    </row>
    <row r="19" spans="1:15">
      <c r="A19" s="68">
        <v>5</v>
      </c>
      <c r="B19" s="69">
        <v>0.5</v>
      </c>
      <c r="C19" s="74">
        <f t="shared" si="0"/>
        <v>1.5</v>
      </c>
      <c r="D19" s="75">
        <f t="shared" si="1"/>
        <v>19.5</v>
      </c>
      <c r="E19" s="69">
        <f t="shared" si="5"/>
        <v>3900</v>
      </c>
      <c r="F19" s="70">
        <f t="shared" si="6"/>
        <v>1.3</v>
      </c>
      <c r="G19" s="76">
        <f t="shared" si="2"/>
        <v>208.70947297737365</v>
      </c>
      <c r="H19" s="77">
        <f t="shared" si="3"/>
        <v>1992.7702703122884</v>
      </c>
      <c r="I19" s="78">
        <f t="shared" si="4"/>
        <v>0.66425675677076279</v>
      </c>
      <c r="O19" s="69">
        <v>0.5</v>
      </c>
    </row>
    <row r="20" spans="1:15">
      <c r="A20" s="68">
        <v>6</v>
      </c>
      <c r="B20" s="69">
        <v>0.5</v>
      </c>
      <c r="C20" s="74">
        <f t="shared" si="0"/>
        <v>1.5</v>
      </c>
      <c r="D20" s="75">
        <f t="shared" si="1"/>
        <v>19.5</v>
      </c>
      <c r="E20" s="69">
        <f t="shared" si="5"/>
        <v>3900</v>
      </c>
      <c r="F20" s="70">
        <f t="shared" si="6"/>
        <v>1.3</v>
      </c>
      <c r="G20" s="76">
        <f t="shared" si="2"/>
        <v>231.15907530101165</v>
      </c>
      <c r="H20" s="77">
        <f t="shared" si="3"/>
        <v>2207.1203879791055</v>
      </c>
      <c r="I20" s="78">
        <f t="shared" si="4"/>
        <v>0.73570679599303523</v>
      </c>
      <c r="O20" s="69">
        <v>0.5</v>
      </c>
    </row>
    <row r="21" spans="1:15">
      <c r="A21" s="68">
        <v>7</v>
      </c>
      <c r="B21" s="69">
        <v>0.5</v>
      </c>
      <c r="C21" s="74">
        <f t="shared" si="0"/>
        <v>1.5</v>
      </c>
      <c r="D21" s="75">
        <f t="shared" si="1"/>
        <v>19.5</v>
      </c>
      <c r="E21" s="69">
        <f t="shared" si="5"/>
        <v>3900</v>
      </c>
      <c r="F21" s="70">
        <f t="shared" si="6"/>
        <v>1.3</v>
      </c>
      <c r="G21" s="76">
        <f t="shared" si="2"/>
        <v>251.08560721276331</v>
      </c>
      <c r="H21" s="77">
        <f t="shared" si="3"/>
        <v>2397.380081598631</v>
      </c>
      <c r="I21" s="78">
        <f t="shared" si="4"/>
        <v>0.79912669386621038</v>
      </c>
      <c r="O21" s="69">
        <v>0.5</v>
      </c>
    </row>
    <row r="22" spans="1:15">
      <c r="A22" s="68">
        <v>8</v>
      </c>
      <c r="B22" s="69">
        <v>0.5</v>
      </c>
      <c r="C22" s="74">
        <f t="shared" si="0"/>
        <v>1.5</v>
      </c>
      <c r="D22" s="75">
        <f t="shared" si="1"/>
        <v>19.5</v>
      </c>
      <c r="E22" s="69">
        <f t="shared" si="5"/>
        <v>3900</v>
      </c>
      <c r="F22" s="70">
        <f t="shared" si="6"/>
        <v>1.3</v>
      </c>
      <c r="G22" s="76">
        <f t="shared" si="2"/>
        <v>268.77263205649388</v>
      </c>
      <c r="H22" s="77">
        <f t="shared" si="3"/>
        <v>2566.2568305839645</v>
      </c>
      <c r="I22" s="78">
        <f t="shared" si="4"/>
        <v>0.8554189435279882</v>
      </c>
      <c r="O22" s="69">
        <v>0.5</v>
      </c>
    </row>
    <row r="23" spans="1:15">
      <c r="A23" s="68">
        <v>9</v>
      </c>
      <c r="B23" s="69">
        <v>0.5</v>
      </c>
      <c r="C23" s="74">
        <f t="shared" si="0"/>
        <v>1.5</v>
      </c>
      <c r="D23" s="75">
        <f t="shared" si="1"/>
        <v>19.5</v>
      </c>
      <c r="E23" s="69">
        <f t="shared" si="5"/>
        <v>3900</v>
      </c>
      <c r="F23" s="70">
        <f t="shared" si="6"/>
        <v>1.3</v>
      </c>
      <c r="G23" s="76">
        <f t="shared" si="2"/>
        <v>284.47184400206334</v>
      </c>
      <c r="H23" s="77">
        <f t="shared" si="3"/>
        <v>2716.1538256084978</v>
      </c>
      <c r="I23" s="78">
        <f t="shared" si="4"/>
        <v>0.90538460853616587</v>
      </c>
      <c r="O23" s="69">
        <v>0.5</v>
      </c>
    </row>
    <row r="24" spans="1:15">
      <c r="A24" s="68">
        <v>10</v>
      </c>
      <c r="B24" s="69">
        <v>0.5</v>
      </c>
      <c r="C24" s="74">
        <f t="shared" si="0"/>
        <v>1.5</v>
      </c>
      <c r="D24" s="75">
        <f t="shared" si="1"/>
        <v>19.5</v>
      </c>
      <c r="E24" s="69">
        <f t="shared" si="5"/>
        <v>3900</v>
      </c>
      <c r="F24" s="70">
        <f t="shared" si="6"/>
        <v>1.3</v>
      </c>
      <c r="G24" s="76">
        <f t="shared" si="2"/>
        <v>298.406649764451</v>
      </c>
      <c r="H24" s="77">
        <f t="shared" si="3"/>
        <v>2849.20416706987</v>
      </c>
      <c r="I24" s="78">
        <f t="shared" si="4"/>
        <v>0.94973472235662337</v>
      </c>
      <c r="O24" s="69">
        <v>0.5</v>
      </c>
    </row>
    <row r="25" spans="1:15">
      <c r="A25" s="68">
        <v>11</v>
      </c>
      <c r="B25" s="69">
        <v>0.5</v>
      </c>
      <c r="C25" s="74">
        <f t="shared" si="0"/>
        <v>1.5</v>
      </c>
      <c r="D25" s="75">
        <f t="shared" si="1"/>
        <v>19.5</v>
      </c>
      <c r="E25" s="69">
        <f t="shared" si="5"/>
        <v>3900</v>
      </c>
      <c r="F25" s="70">
        <f t="shared" si="6"/>
        <v>1.3</v>
      </c>
      <c r="G25" s="76">
        <f t="shared" si="2"/>
        <v>310.77534777991241</v>
      </c>
      <c r="H25" s="77">
        <f t="shared" si="3"/>
        <v>2967.3012200500866</v>
      </c>
      <c r="I25" s="78">
        <f t="shared" si="4"/>
        <v>0.98910040668336219</v>
      </c>
      <c r="O25" s="69">
        <v>0.5</v>
      </c>
    </row>
    <row r="26" spans="1:15">
      <c r="A26" s="68">
        <v>12</v>
      </c>
      <c r="B26" s="69">
        <v>0.5</v>
      </c>
      <c r="C26" s="74">
        <f t="shared" si="0"/>
        <v>1.5</v>
      </c>
      <c r="D26" s="75">
        <f t="shared" si="1"/>
        <v>19.5</v>
      </c>
      <c r="E26" s="69">
        <f t="shared" si="5"/>
        <v>3900</v>
      </c>
      <c r="F26" s="70">
        <f t="shared" si="6"/>
        <v>1.3</v>
      </c>
      <c r="G26" s="76">
        <f t="shared" si="2"/>
        <v>321.75395008024799</v>
      </c>
      <c r="H26" s="77">
        <f t="shared" si="3"/>
        <v>3072.1255577362954</v>
      </c>
      <c r="I26" s="78">
        <f t="shared" si="4"/>
        <v>1.0240418525787651</v>
      </c>
      <c r="O26" s="69">
        <v>0.5</v>
      </c>
    </row>
    <row r="27" spans="1:15">
      <c r="A27" s="68">
        <v>13</v>
      </c>
      <c r="B27" s="69">
        <v>0.5</v>
      </c>
      <c r="C27" s="74">
        <f t="shared" si="0"/>
        <v>1.5</v>
      </c>
      <c r="D27" s="75">
        <f t="shared" si="1"/>
        <v>19.5</v>
      </c>
      <c r="E27" s="69">
        <f t="shared" si="5"/>
        <v>3900</v>
      </c>
      <c r="F27" s="70">
        <f t="shared" si="6"/>
        <v>1.3</v>
      </c>
      <c r="G27" s="76">
        <f t="shared" si="2"/>
        <v>331.49868702170022</v>
      </c>
      <c r="H27" s="77">
        <f t="shared" si="3"/>
        <v>3165.1688767189712</v>
      </c>
      <c r="I27" s="78">
        <f t="shared" si="4"/>
        <v>1.0550562922396571</v>
      </c>
      <c r="O27" s="69">
        <v>0.5</v>
      </c>
    </row>
    <row r="28" spans="1:15">
      <c r="A28" s="68">
        <v>14</v>
      </c>
      <c r="B28" s="69">
        <v>0.5</v>
      </c>
      <c r="C28" s="74">
        <f t="shared" si="0"/>
        <v>1.5</v>
      </c>
      <c r="D28" s="75">
        <f t="shared" si="1"/>
        <v>19.5</v>
      </c>
      <c r="E28" s="69">
        <f t="shared" si="5"/>
        <v>3900</v>
      </c>
      <c r="F28" s="70">
        <f t="shared" si="6"/>
        <v>1.3</v>
      </c>
      <c r="G28" s="76">
        <f t="shared" si="2"/>
        <v>340.1482305118767</v>
      </c>
      <c r="H28" s="77">
        <f t="shared" si="3"/>
        <v>3247.7552244927756</v>
      </c>
      <c r="I28" s="78">
        <f t="shared" si="4"/>
        <v>1.0825850748309251</v>
      </c>
      <c r="O28" s="69">
        <v>0.5</v>
      </c>
    </row>
    <row r="29" spans="1:15">
      <c r="A29" s="68">
        <v>15</v>
      </c>
      <c r="B29" s="69">
        <v>0.5</v>
      </c>
      <c r="C29" s="74">
        <f t="shared" si="0"/>
        <v>1.5</v>
      </c>
      <c r="D29" s="75">
        <f t="shared" si="1"/>
        <v>19.5</v>
      </c>
      <c r="E29" s="69">
        <f t="shared" si="5"/>
        <v>3900</v>
      </c>
      <c r="F29" s="70">
        <f t="shared" si="6"/>
        <v>1.3</v>
      </c>
      <c r="G29" s="76">
        <f t="shared" si="2"/>
        <v>347.8256673721994</v>
      </c>
      <c r="H29" s="77">
        <f t="shared" si="3"/>
        <v>3321.0598412367867</v>
      </c>
      <c r="I29" s="78">
        <f t="shared" si="4"/>
        <v>1.1070199470789288</v>
      </c>
      <c r="O29" s="69">
        <v>0.5</v>
      </c>
    </row>
    <row r="30" spans="1:15">
      <c r="A30" s="68">
        <v>16</v>
      </c>
      <c r="B30" s="69">
        <v>0.5</v>
      </c>
      <c r="C30" s="74">
        <f t="shared" si="0"/>
        <v>1.5</v>
      </c>
      <c r="D30" s="75">
        <f t="shared" si="1"/>
        <v>19.5</v>
      </c>
      <c r="E30" s="69">
        <f t="shared" si="5"/>
        <v>3900</v>
      </c>
      <c r="F30" s="70">
        <f t="shared" si="6"/>
        <v>1.3</v>
      </c>
      <c r="G30" s="76">
        <f t="shared" si="2"/>
        <v>354.64025091769929</v>
      </c>
      <c r="H30" s="77">
        <f t="shared" si="3"/>
        <v>3386.1258840009477</v>
      </c>
      <c r="I30" s="78">
        <f t="shared" si="4"/>
        <v>1.128708628000316</v>
      </c>
      <c r="O30" s="69">
        <v>0.5</v>
      </c>
    </row>
    <row r="31" spans="1:15">
      <c r="A31" s="68">
        <v>17</v>
      </c>
      <c r="B31" s="69">
        <v>0.5</v>
      </c>
      <c r="C31" s="74">
        <f t="shared" si="0"/>
        <v>1.5</v>
      </c>
      <c r="D31" s="75">
        <f t="shared" si="1"/>
        <v>19.5</v>
      </c>
      <c r="E31" s="69">
        <f t="shared" si="5"/>
        <v>3900</v>
      </c>
      <c r="F31" s="70">
        <f t="shared" si="6"/>
        <v>1.3</v>
      </c>
      <c r="G31" s="76">
        <f t="shared" si="2"/>
        <v>360.68895567990887</v>
      </c>
      <c r="H31" s="77">
        <f t="shared" si="3"/>
        <v>3443.8792712913005</v>
      </c>
      <c r="I31" s="78">
        <f t="shared" si="4"/>
        <v>1.1479597570971001</v>
      </c>
      <c r="O31" s="69">
        <v>0.5</v>
      </c>
    </row>
    <row r="32" spans="1:15">
      <c r="A32" s="68">
        <v>18</v>
      </c>
      <c r="B32" s="69">
        <v>0.5</v>
      </c>
      <c r="C32" s="74">
        <f t="shared" si="0"/>
        <v>1.5</v>
      </c>
      <c r="D32" s="75">
        <f t="shared" si="1"/>
        <v>19.5</v>
      </c>
      <c r="E32" s="69">
        <f t="shared" si="5"/>
        <v>3900</v>
      </c>
      <c r="F32" s="70">
        <f t="shared" si="6"/>
        <v>1.3</v>
      </c>
      <c r="G32" s="76">
        <f t="shared" si="2"/>
        <v>366.05785739724683</v>
      </c>
      <c r="H32" s="77">
        <f t="shared" si="3"/>
        <v>3495.141859298983</v>
      </c>
      <c r="I32" s="78">
        <f t="shared" si="4"/>
        <v>1.1650472864329944</v>
      </c>
      <c r="O32" s="69">
        <v>0.5</v>
      </c>
    </row>
    <row r="33" spans="1:15">
      <c r="A33" s="68">
        <v>19</v>
      </c>
      <c r="B33" s="69">
        <v>0.5</v>
      </c>
      <c r="C33" s="74">
        <f t="shared" si="0"/>
        <v>1.5</v>
      </c>
      <c r="D33" s="75">
        <f t="shared" si="1"/>
        <v>19.5</v>
      </c>
      <c r="E33" s="69">
        <f t="shared" si="5"/>
        <v>3900</v>
      </c>
      <c r="F33" s="70">
        <f t="shared" si="6"/>
        <v>1.3</v>
      </c>
      <c r="G33" s="76">
        <f t="shared" si="2"/>
        <v>370.82335791076576</v>
      </c>
      <c r="H33" s="77">
        <f t="shared" si="3"/>
        <v>3540.6431372765669</v>
      </c>
      <c r="I33" s="78">
        <f t="shared" si="4"/>
        <v>1.1802143790921891</v>
      </c>
      <c r="O33" s="69">
        <v>0.5</v>
      </c>
    </row>
    <row r="34" spans="1:15">
      <c r="A34" s="68">
        <v>20</v>
      </c>
      <c r="B34" s="69">
        <v>0.5</v>
      </c>
      <c r="C34" s="74">
        <f t="shared" si="0"/>
        <v>1.5</v>
      </c>
      <c r="D34" s="75">
        <f t="shared" si="1"/>
        <v>19.5</v>
      </c>
      <c r="E34" s="69">
        <f t="shared" si="5"/>
        <v>3900</v>
      </c>
      <c r="F34" s="70">
        <f t="shared" si="6"/>
        <v>1.3</v>
      </c>
      <c r="G34" s="76">
        <f t="shared" si="2"/>
        <v>375.05327239607124</v>
      </c>
      <c r="H34" s="77">
        <f t="shared" si="3"/>
        <v>3581.0306084920871</v>
      </c>
      <c r="I34" s="78">
        <f t="shared" si="4"/>
        <v>1.1936768694973623</v>
      </c>
      <c r="O34" s="69">
        <v>0.5</v>
      </c>
    </row>
    <row r="35" spans="1:15">
      <c r="A35" s="68">
        <v>21</v>
      </c>
      <c r="B35" s="69">
        <v>0.5</v>
      </c>
      <c r="C35" s="74">
        <f t="shared" si="0"/>
        <v>1.5</v>
      </c>
      <c r="D35" s="75">
        <f t="shared" si="1"/>
        <v>19.5</v>
      </c>
      <c r="E35" s="69">
        <f t="shared" si="5"/>
        <v>3900</v>
      </c>
      <c r="F35" s="70">
        <f t="shared" si="6"/>
        <v>1.3</v>
      </c>
      <c r="G35" s="76">
        <f t="shared" si="2"/>
        <v>378.80779440320146</v>
      </c>
      <c r="H35" s="77">
        <f t="shared" si="3"/>
        <v>3616.8790044863285</v>
      </c>
      <c r="I35" s="78">
        <f t="shared" si="4"/>
        <v>1.2056263348287761</v>
      </c>
      <c r="O35" s="69">
        <v>0.5</v>
      </c>
    </row>
    <row r="36" spans="1:15">
      <c r="A36" s="68">
        <v>22</v>
      </c>
      <c r="B36" s="69">
        <v>0.5</v>
      </c>
      <c r="C36" s="74">
        <f t="shared" si="0"/>
        <v>1.5</v>
      </c>
      <c r="D36" s="75">
        <f t="shared" si="1"/>
        <v>19.5</v>
      </c>
      <c r="E36" s="69">
        <f t="shared" si="5"/>
        <v>3900</v>
      </c>
      <c r="F36" s="70">
        <f t="shared" si="6"/>
        <v>1.3</v>
      </c>
      <c r="G36" s="76">
        <f t="shared" si="2"/>
        <v>382.1403524374112</v>
      </c>
      <c r="H36" s="77">
        <f t="shared" si="3"/>
        <v>3648.6984637563132</v>
      </c>
      <c r="I36" s="78">
        <f t="shared" si="4"/>
        <v>1.2162328212521043</v>
      </c>
      <c r="O36" s="69">
        <v>0.5</v>
      </c>
    </row>
    <row r="37" spans="1:15">
      <c r="A37" s="68">
        <v>23</v>
      </c>
      <c r="B37" s="69">
        <v>0.5</v>
      </c>
      <c r="C37" s="74">
        <f t="shared" si="0"/>
        <v>1.5</v>
      </c>
      <c r="D37" s="75">
        <f t="shared" si="1"/>
        <v>19.5</v>
      </c>
      <c r="E37" s="69">
        <f t="shared" si="5"/>
        <v>3900</v>
      </c>
      <c r="F37" s="70">
        <f t="shared" si="6"/>
        <v>1.3</v>
      </c>
      <c r="G37" s="76">
        <f t="shared" si="2"/>
        <v>385.09837027038293</v>
      </c>
      <c r="H37" s="77">
        <f t="shared" si="3"/>
        <v>3676.941791251269</v>
      </c>
      <c r="I37" s="78">
        <f t="shared" si="4"/>
        <v>1.225647263750423</v>
      </c>
      <c r="O37" s="69">
        <v>0.5</v>
      </c>
    </row>
    <row r="38" spans="1:15">
      <c r="A38" s="68">
        <v>24</v>
      </c>
      <c r="B38" s="69">
        <v>0.5</v>
      </c>
      <c r="C38" s="74">
        <f t="shared" si="0"/>
        <v>1.5</v>
      </c>
      <c r="D38" s="75">
        <f t="shared" si="1"/>
        <v>19.5</v>
      </c>
      <c r="E38" s="69">
        <f t="shared" si="5"/>
        <v>3900</v>
      </c>
      <c r="F38" s="70">
        <f t="shared" si="6"/>
        <v>1.3</v>
      </c>
      <c r="G38" s="76">
        <f t="shared" si="2"/>
        <v>387.72394180142868</v>
      </c>
      <c r="H38" s="77">
        <f t="shared" si="3"/>
        <v>3702.0109019869064</v>
      </c>
      <c r="I38" s="78">
        <f t="shared" si="4"/>
        <v>1.2340036339956355</v>
      </c>
      <c r="O38" s="69">
        <v>0.5</v>
      </c>
    </row>
    <row r="39" spans="1:15">
      <c r="A39" s="68">
        <v>25</v>
      </c>
      <c r="B39" s="69">
        <v>0.5</v>
      </c>
      <c r="C39" s="74">
        <f t="shared" si="0"/>
        <v>1.5</v>
      </c>
      <c r="D39" s="75">
        <f t="shared" si="1"/>
        <v>19.5</v>
      </c>
      <c r="E39" s="69">
        <f t="shared" si="5"/>
        <v>3900</v>
      </c>
      <c r="F39" s="70">
        <f t="shared" si="6"/>
        <v>1.3</v>
      </c>
      <c r="G39" s="76">
        <f t="shared" si="2"/>
        <v>390.05443007225568</v>
      </c>
      <c r="H39" s="77">
        <f t="shared" si="3"/>
        <v>3724.262540473479</v>
      </c>
      <c r="I39" s="78">
        <f t="shared" si="4"/>
        <v>1.2414208468244929</v>
      </c>
      <c r="O39" s="69">
        <v>0.5</v>
      </c>
    </row>
    <row r="40" spans="1:15">
      <c r="A40" s="68">
        <v>26</v>
      </c>
      <c r="B40" s="69">
        <v>0.5</v>
      </c>
      <c r="C40" s="74">
        <f t="shared" si="0"/>
        <v>1.5</v>
      </c>
      <c r="D40" s="75">
        <f t="shared" si="1"/>
        <v>19.5</v>
      </c>
      <c r="E40" s="69">
        <f t="shared" si="5"/>
        <v>3900</v>
      </c>
      <c r="F40" s="70">
        <f t="shared" si="6"/>
        <v>1.3</v>
      </c>
      <c r="G40" s="76">
        <f t="shared" si="2"/>
        <v>392.12299895954061</v>
      </c>
      <c r="H40" s="77">
        <f t="shared" si="3"/>
        <v>3744.0133573476191</v>
      </c>
      <c r="I40" s="78">
        <f t="shared" si="4"/>
        <v>1.2480044524492064</v>
      </c>
      <c r="O40" s="69">
        <v>0.5</v>
      </c>
    </row>
    <row r="41" spans="1:15">
      <c r="A41" s="68">
        <v>27</v>
      </c>
      <c r="B41" s="69">
        <v>0.5</v>
      </c>
      <c r="C41" s="74">
        <f t="shared" si="0"/>
        <v>1.5</v>
      </c>
      <c r="D41" s="75">
        <f t="shared" si="1"/>
        <v>19.5</v>
      </c>
      <c r="E41" s="69">
        <f t="shared" si="5"/>
        <v>3900</v>
      </c>
      <c r="F41" s="70">
        <f t="shared" si="6"/>
        <v>1.3</v>
      </c>
      <c r="G41" s="76">
        <f t="shared" si="2"/>
        <v>393.95908511153175</v>
      </c>
      <c r="H41" s="77">
        <f t="shared" si="3"/>
        <v>3761.5444154506536</v>
      </c>
      <c r="I41" s="78">
        <f t="shared" si="4"/>
        <v>1.2538481384835511</v>
      </c>
      <c r="O41" s="69">
        <v>0.5</v>
      </c>
    </row>
    <row r="42" spans="1:15">
      <c r="A42" s="68">
        <v>28</v>
      </c>
      <c r="B42" s="69">
        <v>0.5</v>
      </c>
      <c r="C42" s="74">
        <f t="shared" si="0"/>
        <v>1.5</v>
      </c>
      <c r="D42" s="75">
        <f t="shared" si="1"/>
        <v>19.5</v>
      </c>
      <c r="E42" s="69">
        <f t="shared" si="5"/>
        <v>3900</v>
      </c>
      <c r="F42" s="70">
        <f t="shared" si="6"/>
        <v>1.3</v>
      </c>
      <c r="G42" s="76">
        <f t="shared" si="2"/>
        <v>395.5888168445457</v>
      </c>
      <c r="H42" s="77">
        <f t="shared" si="3"/>
        <v>3777.1051894768848</v>
      </c>
      <c r="I42" s="78">
        <f t="shared" si="4"/>
        <v>1.2590350631589615</v>
      </c>
      <c r="O42" s="69">
        <v>0.5</v>
      </c>
    </row>
    <row r="43" spans="1:15">
      <c r="A43" s="68">
        <v>29</v>
      </c>
      <c r="B43" s="69">
        <v>0.5</v>
      </c>
      <c r="C43" s="74">
        <f t="shared" si="0"/>
        <v>1.5</v>
      </c>
      <c r="D43" s="75">
        <f t="shared" si="1"/>
        <v>19.5</v>
      </c>
      <c r="E43" s="69">
        <f t="shared" si="5"/>
        <v>3900</v>
      </c>
      <c r="F43" s="70">
        <f t="shared" si="6"/>
        <v>1.3</v>
      </c>
      <c r="G43" s="76">
        <f t="shared" si="2"/>
        <v>397.03538596044064</v>
      </c>
      <c r="H43" s="77">
        <f t="shared" si="3"/>
        <v>3790.9171161085997</v>
      </c>
      <c r="I43" s="78">
        <f t="shared" si="4"/>
        <v>1.2636390387028666</v>
      </c>
      <c r="O43" s="69">
        <v>0.5</v>
      </c>
    </row>
    <row r="44" spans="1:15">
      <c r="A44" s="68">
        <v>30</v>
      </c>
      <c r="B44" s="69">
        <v>0.5</v>
      </c>
      <c r="C44" s="74">
        <f t="shared" si="0"/>
        <v>1.5</v>
      </c>
      <c r="D44" s="75">
        <f t="shared" si="1"/>
        <v>19.5</v>
      </c>
      <c r="E44" s="69">
        <f t="shared" si="5"/>
        <v>3900</v>
      </c>
      <c r="F44" s="70">
        <f t="shared" si="6"/>
        <v>1.3</v>
      </c>
      <c r="G44" s="76">
        <f t="shared" si="2"/>
        <v>398.31937777619248</v>
      </c>
      <c r="H44" s="77">
        <f t="shared" si="3"/>
        <v>3803.1767451577894</v>
      </c>
      <c r="I44" s="78">
        <f t="shared" si="4"/>
        <v>1.2677255817192632</v>
      </c>
      <c r="O44" s="69">
        <v>0.5</v>
      </c>
    </row>
    <row r="45" spans="1:15">
      <c r="A45" s="68">
        <v>31</v>
      </c>
      <c r="B45" s="69">
        <v>0.5</v>
      </c>
      <c r="C45" s="74">
        <f t="shared" si="0"/>
        <v>1.5</v>
      </c>
      <c r="D45" s="75">
        <f t="shared" si="1"/>
        <v>19.5</v>
      </c>
      <c r="E45" s="69">
        <f t="shared" si="5"/>
        <v>3900</v>
      </c>
      <c r="F45" s="70">
        <f t="shared" si="6"/>
        <v>1.3</v>
      </c>
      <c r="G45" s="76">
        <f t="shared" si="2"/>
        <v>399.45906406204114</v>
      </c>
      <c r="H45" s="77">
        <f t="shared" si="3"/>
        <v>3814.0585365567267</v>
      </c>
      <c r="I45" s="78">
        <f t="shared" si="4"/>
        <v>1.2713528455189089</v>
      </c>
      <c r="O45" s="69">
        <v>0.5</v>
      </c>
    </row>
    <row r="46" spans="1:15">
      <c r="A46" s="68">
        <v>32</v>
      </c>
      <c r="B46" s="69">
        <v>0.5</v>
      </c>
      <c r="C46" s="74">
        <f t="shared" ref="C46:C77" si="7">B46*$D$2</f>
        <v>1.5</v>
      </c>
      <c r="D46" s="75">
        <f t="shared" ref="D46:D77" si="8">$D$7-C46*$I$4</f>
        <v>19.5</v>
      </c>
      <c r="E46" s="69">
        <f t="shared" si="5"/>
        <v>3900</v>
      </c>
      <c r="F46" s="70">
        <f t="shared" si="6"/>
        <v>1.3</v>
      </c>
      <c r="G46" s="76">
        <f t="shared" ref="G46:G77" si="9">($S$6*$D$7-$S$7*B46*$I$2+$S$8*G45)</f>
        <v>400.47066305684547</v>
      </c>
      <c r="H46" s="77">
        <f t="shared" si="3"/>
        <v>3823.7173429997979</v>
      </c>
      <c r="I46" s="78">
        <f t="shared" si="4"/>
        <v>1.2745724476665994</v>
      </c>
      <c r="O46" s="69">
        <v>0.5</v>
      </c>
    </row>
    <row r="47" spans="1:15">
      <c r="A47" s="68">
        <v>33</v>
      </c>
      <c r="B47" s="69">
        <v>0.5</v>
      </c>
      <c r="C47" s="74">
        <f t="shared" si="7"/>
        <v>1.5</v>
      </c>
      <c r="D47" s="75">
        <f t="shared" si="8"/>
        <v>19.5</v>
      </c>
      <c r="E47" s="69">
        <f t="shared" si="5"/>
        <v>3900</v>
      </c>
      <c r="F47" s="70">
        <f t="shared" si="6"/>
        <v>1.3</v>
      </c>
      <c r="G47" s="76">
        <f t="shared" si="9"/>
        <v>401.36857026078019</v>
      </c>
      <c r="H47" s="77">
        <f t="shared" si="3"/>
        <v>3832.2906135656926</v>
      </c>
      <c r="I47" s="78">
        <f t="shared" si="4"/>
        <v>1.2774302045218975</v>
      </c>
      <c r="O47" s="69">
        <v>0.5</v>
      </c>
    </row>
    <row r="48" spans="1:15">
      <c r="A48" s="68">
        <v>34</v>
      </c>
      <c r="B48" s="69">
        <v>0.5</v>
      </c>
      <c r="C48" s="74">
        <f t="shared" si="7"/>
        <v>1.5</v>
      </c>
      <c r="D48" s="75">
        <f t="shared" si="8"/>
        <v>19.5</v>
      </c>
      <c r="E48" s="69">
        <f t="shared" si="5"/>
        <v>3900</v>
      </c>
      <c r="F48" s="70">
        <f t="shared" si="6"/>
        <v>1.3</v>
      </c>
      <c r="G48" s="76">
        <f t="shared" si="9"/>
        <v>402.16556328965703</v>
      </c>
      <c r="H48" s="77">
        <f t="shared" si="3"/>
        <v>3839.9003496784567</v>
      </c>
      <c r="I48" s="78">
        <f t="shared" si="4"/>
        <v>1.2799667832261523</v>
      </c>
      <c r="O48" s="69">
        <v>0.5</v>
      </c>
    </row>
    <row r="49" spans="1:15">
      <c r="A49" s="68">
        <v>35</v>
      </c>
      <c r="B49" s="69">
        <v>0.5</v>
      </c>
      <c r="C49" s="74">
        <f t="shared" si="7"/>
        <v>1.5</v>
      </c>
      <c r="D49" s="75">
        <f t="shared" si="8"/>
        <v>19.5</v>
      </c>
      <c r="E49" s="69">
        <f t="shared" si="5"/>
        <v>3900</v>
      </c>
      <c r="F49" s="70">
        <f t="shared" si="6"/>
        <v>1.3</v>
      </c>
      <c r="G49" s="76">
        <f t="shared" si="9"/>
        <v>402.87298370603725</v>
      </c>
      <c r="H49" s="77">
        <f t="shared" si="3"/>
        <v>3846.6548412416032</v>
      </c>
      <c r="I49" s="78">
        <f t="shared" si="4"/>
        <v>1.2822182804138678</v>
      </c>
      <c r="O49" s="69">
        <v>0.5</v>
      </c>
    </row>
    <row r="50" spans="1:15">
      <c r="A50" s="68">
        <v>36</v>
      </c>
      <c r="B50" s="69">
        <v>0.5</v>
      </c>
      <c r="C50" s="74">
        <f t="shared" si="7"/>
        <v>1.5</v>
      </c>
      <c r="D50" s="75">
        <f t="shared" si="8"/>
        <v>19.5</v>
      </c>
      <c r="E50" s="69">
        <f t="shared" si="5"/>
        <v>3900</v>
      </c>
      <c r="F50" s="70">
        <f t="shared" si="6"/>
        <v>1.3</v>
      </c>
      <c r="G50" s="76">
        <f t="shared" si="9"/>
        <v>403.50089841467252</v>
      </c>
      <c r="H50" s="77">
        <f t="shared" si="3"/>
        <v>3852.6502076512338</v>
      </c>
      <c r="I50" s="78">
        <f t="shared" si="4"/>
        <v>1.2842167358837446</v>
      </c>
      <c r="O50" s="69">
        <v>0.5</v>
      </c>
    </row>
    <row r="51" spans="1:15">
      <c r="A51" s="68">
        <v>37</v>
      </c>
      <c r="B51" s="69">
        <v>0.5</v>
      </c>
      <c r="C51" s="74">
        <f t="shared" si="7"/>
        <v>1.5</v>
      </c>
      <c r="D51" s="75">
        <f t="shared" si="8"/>
        <v>19.5</v>
      </c>
      <c r="E51" s="69">
        <f t="shared" si="5"/>
        <v>3900</v>
      </c>
      <c r="F51" s="70">
        <f t="shared" si="6"/>
        <v>1.3</v>
      </c>
      <c r="G51" s="76">
        <f t="shared" si="9"/>
        <v>404.05824291900274</v>
      </c>
      <c r="H51" s="77">
        <f t="shared" si="3"/>
        <v>3857.9717656174676</v>
      </c>
      <c r="I51" s="78">
        <f t="shared" si="4"/>
        <v>1.2859905885391558</v>
      </c>
      <c r="O51" s="69">
        <v>0.5</v>
      </c>
    </row>
    <row r="52" spans="1:15">
      <c r="A52" s="68">
        <v>38</v>
      </c>
      <c r="B52" s="69">
        <v>0.5</v>
      </c>
      <c r="C52" s="74">
        <f t="shared" si="7"/>
        <v>1.5</v>
      </c>
      <c r="D52" s="75">
        <f t="shared" si="8"/>
        <v>19.5</v>
      </c>
      <c r="E52" s="69">
        <f t="shared" si="5"/>
        <v>3900</v>
      </c>
      <c r="F52" s="70">
        <f t="shared" si="6"/>
        <v>1.3</v>
      </c>
      <c r="G52" s="76">
        <f t="shared" si="9"/>
        <v>404.55294847731375</v>
      </c>
      <c r="H52" s="77">
        <f t="shared" si="3"/>
        <v>3862.6952432588837</v>
      </c>
      <c r="I52" s="78">
        <f t="shared" si="4"/>
        <v>1.2875650810862946</v>
      </c>
      <c r="O52" s="69">
        <v>0.5</v>
      </c>
    </row>
    <row r="53" spans="1:15">
      <c r="A53" s="68">
        <v>39</v>
      </c>
      <c r="B53" s="69">
        <v>0.5</v>
      </c>
      <c r="C53" s="74">
        <f t="shared" si="7"/>
        <v>1.5</v>
      </c>
      <c r="D53" s="75">
        <f t="shared" si="8"/>
        <v>19.5</v>
      </c>
      <c r="E53" s="69">
        <f t="shared" si="5"/>
        <v>3900</v>
      </c>
      <c r="F53" s="70">
        <f t="shared" si="6"/>
        <v>1.3</v>
      </c>
      <c r="G53" s="76">
        <f t="shared" si="9"/>
        <v>404.99205496804325</v>
      </c>
      <c r="H53" s="77">
        <f t="shared" si="3"/>
        <v>3866.8878577470714</v>
      </c>
      <c r="I53" s="78">
        <f t="shared" si="4"/>
        <v>1.2889626192490238</v>
      </c>
      <c r="O53" s="69">
        <v>0.5</v>
      </c>
    </row>
    <row r="54" spans="1:15">
      <c r="A54" s="68">
        <v>40</v>
      </c>
      <c r="B54" s="69">
        <v>0.5</v>
      </c>
      <c r="C54" s="74">
        <f t="shared" si="7"/>
        <v>1.5</v>
      </c>
      <c r="D54" s="75">
        <f t="shared" si="8"/>
        <v>19.5</v>
      </c>
      <c r="E54" s="69">
        <f t="shared" si="5"/>
        <v>3900</v>
      </c>
      <c r="F54" s="70">
        <f t="shared" si="6"/>
        <v>1.3</v>
      </c>
      <c r="G54" s="76">
        <f t="shared" si="9"/>
        <v>405.38181107035808</v>
      </c>
      <c r="H54" s="77">
        <f t="shared" si="3"/>
        <v>3870.6092718366467</v>
      </c>
      <c r="I54" s="78">
        <f t="shared" si="4"/>
        <v>1.2902030906122155</v>
      </c>
      <c r="O54" s="69">
        <v>0.5</v>
      </c>
    </row>
    <row r="55" spans="1:15">
      <c r="A55" s="68">
        <v>41</v>
      </c>
      <c r="B55" s="69">
        <v>1</v>
      </c>
      <c r="C55" s="74">
        <f t="shared" si="7"/>
        <v>3</v>
      </c>
      <c r="D55" s="75">
        <f t="shared" si="8"/>
        <v>15</v>
      </c>
      <c r="E55" s="69">
        <f t="shared" si="5"/>
        <v>3000</v>
      </c>
      <c r="F55" s="70">
        <f t="shared" si="6"/>
        <v>1</v>
      </c>
      <c r="G55" s="76">
        <f t="shared" si="9"/>
        <v>395.13405138636608</v>
      </c>
      <c r="H55" s="77">
        <f t="shared" si="3"/>
        <v>3772.7630622504721</v>
      </c>
      <c r="I55" s="78">
        <f t="shared" si="4"/>
        <v>1.2575876874168241</v>
      </c>
      <c r="O55" s="69">
        <v>1</v>
      </c>
    </row>
    <row r="56" spans="1:15">
      <c r="A56" s="68">
        <v>42</v>
      </c>
      <c r="B56" s="69">
        <v>1</v>
      </c>
      <c r="C56" s="74">
        <f t="shared" si="7"/>
        <v>3</v>
      </c>
      <c r="D56" s="75">
        <f t="shared" si="8"/>
        <v>15</v>
      </c>
      <c r="E56" s="69">
        <f t="shared" si="5"/>
        <v>3000</v>
      </c>
      <c r="F56" s="70">
        <f t="shared" si="6"/>
        <v>1</v>
      </c>
      <c r="G56" s="76">
        <f t="shared" si="9"/>
        <v>386.03801897460187</v>
      </c>
      <c r="H56" s="77">
        <f t="shared" si="3"/>
        <v>3685.9136121063198</v>
      </c>
      <c r="I56" s="78">
        <f t="shared" si="4"/>
        <v>1.2286378707021066</v>
      </c>
      <c r="O56" s="69">
        <v>1</v>
      </c>
    </row>
    <row r="57" spans="1:15">
      <c r="A57" s="68">
        <v>43</v>
      </c>
      <c r="B57" s="69">
        <v>1</v>
      </c>
      <c r="C57" s="74">
        <f t="shared" si="7"/>
        <v>3</v>
      </c>
      <c r="D57" s="75">
        <f t="shared" si="8"/>
        <v>15</v>
      </c>
      <c r="E57" s="69">
        <f t="shared" si="5"/>
        <v>3000</v>
      </c>
      <c r="F57" s="70">
        <f t="shared" si="6"/>
        <v>1</v>
      </c>
      <c r="G57" s="76">
        <f t="shared" si="9"/>
        <v>377.96427327922709</v>
      </c>
      <c r="H57" s="77">
        <f t="shared" si="3"/>
        <v>3608.8250153968215</v>
      </c>
      <c r="I57" s="78">
        <f t="shared" si="4"/>
        <v>1.2029416717989405</v>
      </c>
      <c r="O57" s="69">
        <v>1</v>
      </c>
    </row>
    <row r="58" spans="1:15">
      <c r="A58" s="68">
        <v>44</v>
      </c>
      <c r="B58" s="69">
        <v>1</v>
      </c>
      <c r="C58" s="74">
        <f t="shared" si="7"/>
        <v>3</v>
      </c>
      <c r="D58" s="75">
        <f t="shared" si="8"/>
        <v>15</v>
      </c>
      <c r="E58" s="69">
        <f t="shared" si="5"/>
        <v>3000</v>
      </c>
      <c r="F58" s="70">
        <f t="shared" si="6"/>
        <v>1</v>
      </c>
      <c r="G58" s="76">
        <f t="shared" si="9"/>
        <v>370.79792133557351</v>
      </c>
      <c r="H58" s="77">
        <f t="shared" si="3"/>
        <v>3540.4002673670288</v>
      </c>
      <c r="I58" s="78">
        <f t="shared" si="4"/>
        <v>1.1801334224556763</v>
      </c>
      <c r="O58" s="69">
        <v>1</v>
      </c>
    </row>
    <row r="59" spans="1:15">
      <c r="A59" s="68">
        <v>45</v>
      </c>
      <c r="B59" s="69">
        <v>1</v>
      </c>
      <c r="C59" s="74">
        <f t="shared" si="7"/>
        <v>3</v>
      </c>
      <c r="D59" s="75">
        <f t="shared" si="8"/>
        <v>15</v>
      </c>
      <c r="E59" s="69">
        <f t="shared" si="5"/>
        <v>3000</v>
      </c>
      <c r="F59" s="70">
        <f t="shared" si="6"/>
        <v>1</v>
      </c>
      <c r="G59" s="76">
        <f t="shared" si="9"/>
        <v>364.43698279254659</v>
      </c>
      <c r="H59" s="77">
        <f t="shared" si="3"/>
        <v>3479.6656536525775</v>
      </c>
      <c r="I59" s="78">
        <f t="shared" si="4"/>
        <v>1.1598885512175259</v>
      </c>
      <c r="O59" s="69">
        <v>1</v>
      </c>
    </row>
    <row r="60" spans="1:15">
      <c r="A60" s="68">
        <v>46</v>
      </c>
      <c r="B60" s="69">
        <v>1</v>
      </c>
      <c r="C60" s="74">
        <f t="shared" si="7"/>
        <v>3</v>
      </c>
      <c r="D60" s="75">
        <f t="shared" si="8"/>
        <v>15</v>
      </c>
      <c r="E60" s="69">
        <f t="shared" si="5"/>
        <v>3000</v>
      </c>
      <c r="F60" s="70">
        <f t="shared" si="6"/>
        <v>1</v>
      </c>
      <c r="G60" s="76">
        <f t="shared" si="9"/>
        <v>358.7909386872193</v>
      </c>
      <c r="H60" s="77">
        <f t="shared" si="3"/>
        <v>3425.7568938945187</v>
      </c>
      <c r="I60" s="78">
        <f t="shared" si="4"/>
        <v>1.1419189646315062</v>
      </c>
      <c r="O60" s="69">
        <v>1</v>
      </c>
    </row>
    <row r="61" spans="1:15">
      <c r="A61" s="68">
        <v>47</v>
      </c>
      <c r="B61" s="69">
        <v>1</v>
      </c>
      <c r="C61" s="74">
        <f t="shared" si="7"/>
        <v>3</v>
      </c>
      <c r="D61" s="75">
        <f t="shared" si="8"/>
        <v>15</v>
      </c>
      <c r="E61" s="69">
        <f t="shared" si="5"/>
        <v>3000</v>
      </c>
      <c r="F61" s="70">
        <f t="shared" si="6"/>
        <v>1</v>
      </c>
      <c r="G61" s="76">
        <f t="shared" si="9"/>
        <v>353.77944332003858</v>
      </c>
      <c r="H61" s="77">
        <f t="shared" si="3"/>
        <v>3377.9068426483632</v>
      </c>
      <c r="I61" s="78">
        <f t="shared" si="4"/>
        <v>1.1259689475494543</v>
      </c>
      <c r="O61" s="69">
        <v>1</v>
      </c>
    </row>
    <row r="62" spans="1:15">
      <c r="A62" s="68">
        <v>48</v>
      </c>
      <c r="B62" s="69">
        <v>1</v>
      </c>
      <c r="C62" s="74">
        <f t="shared" si="7"/>
        <v>3</v>
      </c>
      <c r="D62" s="75">
        <f t="shared" si="8"/>
        <v>15</v>
      </c>
      <c r="E62" s="69">
        <f t="shared" si="5"/>
        <v>3000</v>
      </c>
      <c r="F62" s="70">
        <f t="shared" si="6"/>
        <v>1</v>
      </c>
      <c r="G62" s="76">
        <f t="shared" si="9"/>
        <v>349.33118090005917</v>
      </c>
      <c r="H62" s="77">
        <f t="shared" si="3"/>
        <v>3335.4345725658104</v>
      </c>
      <c r="I62" s="78">
        <f t="shared" si="4"/>
        <v>1.1118115241886035</v>
      </c>
      <c r="O62" s="69">
        <v>1</v>
      </c>
    </row>
    <row r="63" spans="1:15">
      <c r="A63" s="68">
        <v>49</v>
      </c>
      <c r="B63" s="69">
        <v>1</v>
      </c>
      <c r="C63" s="74">
        <f t="shared" si="7"/>
        <v>3</v>
      </c>
      <c r="D63" s="75">
        <f t="shared" si="8"/>
        <v>15</v>
      </c>
      <c r="E63" s="69">
        <f t="shared" si="5"/>
        <v>3000</v>
      </c>
      <c r="F63" s="70">
        <f t="shared" si="6"/>
        <v>1</v>
      </c>
      <c r="G63" s="76">
        <f t="shared" si="9"/>
        <v>345.38285068976256</v>
      </c>
      <c r="H63" s="77">
        <f t="shared" si="3"/>
        <v>3297.7356844980513</v>
      </c>
      <c r="I63" s="78">
        <f t="shared" si="4"/>
        <v>1.0992452281660172</v>
      </c>
      <c r="O63" s="69">
        <v>1</v>
      </c>
    </row>
    <row r="64" spans="1:15">
      <c r="A64" s="68">
        <v>50</v>
      </c>
      <c r="B64" s="69">
        <v>1</v>
      </c>
      <c r="C64" s="74">
        <f t="shared" si="7"/>
        <v>3</v>
      </c>
      <c r="D64" s="75">
        <f t="shared" si="8"/>
        <v>15</v>
      </c>
      <c r="E64" s="69">
        <f t="shared" si="5"/>
        <v>3000</v>
      </c>
      <c r="F64" s="70">
        <f t="shared" si="6"/>
        <v>1</v>
      </c>
      <c r="G64" s="76">
        <f t="shared" si="9"/>
        <v>341.87826620762371</v>
      </c>
      <c r="H64" s="77">
        <f t="shared" si="3"/>
        <v>3264.2737066291252</v>
      </c>
      <c r="I64" s="78">
        <f t="shared" si="4"/>
        <v>1.0880912355430417</v>
      </c>
      <c r="O64" s="69">
        <v>1</v>
      </c>
    </row>
    <row r="65" spans="1:15">
      <c r="A65" s="68">
        <v>51</v>
      </c>
      <c r="B65" s="69">
        <v>1</v>
      </c>
      <c r="C65" s="74">
        <f t="shared" si="7"/>
        <v>3</v>
      </c>
      <c r="D65" s="75">
        <f t="shared" si="8"/>
        <v>15</v>
      </c>
      <c r="E65" s="69">
        <f t="shared" si="5"/>
        <v>3000</v>
      </c>
      <c r="F65" s="70">
        <f t="shared" si="6"/>
        <v>1</v>
      </c>
      <c r="G65" s="76">
        <f t="shared" si="9"/>
        <v>338.76755566968075</v>
      </c>
      <c r="H65" s="77">
        <f t="shared" si="3"/>
        <v>3234.5724602452015</v>
      </c>
      <c r="I65" s="78">
        <f t="shared" si="4"/>
        <v>1.0781908200817338</v>
      </c>
      <c r="O65" s="69">
        <v>1</v>
      </c>
    </row>
    <row r="66" spans="1:15">
      <c r="A66" s="68">
        <v>52</v>
      </c>
      <c r="B66" s="69">
        <v>1</v>
      </c>
      <c r="C66" s="74">
        <f t="shared" si="7"/>
        <v>3</v>
      </c>
      <c r="D66" s="75">
        <f t="shared" si="8"/>
        <v>15</v>
      </c>
      <c r="E66" s="69">
        <f t="shared" si="5"/>
        <v>3000</v>
      </c>
      <c r="F66" s="70">
        <f t="shared" si="6"/>
        <v>1</v>
      </c>
      <c r="G66" s="76">
        <f t="shared" si="9"/>
        <v>336.00645229203758</v>
      </c>
      <c r="H66" s="77">
        <f t="shared" si="3"/>
        <v>3208.2092835013136</v>
      </c>
      <c r="I66" s="78">
        <f t="shared" si="4"/>
        <v>1.0694030945004378</v>
      </c>
      <c r="O66" s="69">
        <v>1</v>
      </c>
    </row>
    <row r="67" spans="1:15">
      <c r="A67" s="68">
        <v>53</v>
      </c>
      <c r="B67" s="69">
        <v>1</v>
      </c>
      <c r="C67" s="74">
        <f t="shared" si="7"/>
        <v>3</v>
      </c>
      <c r="D67" s="75">
        <f t="shared" si="8"/>
        <v>15</v>
      </c>
      <c r="E67" s="69">
        <f t="shared" si="5"/>
        <v>3000</v>
      </c>
      <c r="F67" s="70">
        <f t="shared" si="6"/>
        <v>1</v>
      </c>
      <c r="G67" s="76">
        <f t="shared" si="9"/>
        <v>333.55566435499156</v>
      </c>
      <c r="H67" s="77">
        <f t="shared" si="3"/>
        <v>3184.809016756762</v>
      </c>
      <c r="I67" s="78">
        <f t="shared" si="4"/>
        <v>1.0616030055855874</v>
      </c>
      <c r="O67" s="69">
        <v>1</v>
      </c>
    </row>
    <row r="68" spans="1:15">
      <c r="A68" s="68">
        <v>54</v>
      </c>
      <c r="B68" s="69">
        <v>1</v>
      </c>
      <c r="C68" s="74">
        <f t="shared" si="7"/>
        <v>3</v>
      </c>
      <c r="D68" s="75">
        <f t="shared" si="8"/>
        <v>15</v>
      </c>
      <c r="E68" s="69">
        <f t="shared" si="5"/>
        <v>3000</v>
      </c>
      <c r="F68" s="70">
        <f t="shared" si="6"/>
        <v>1</v>
      </c>
      <c r="G68" s="76">
        <f t="shared" si="9"/>
        <v>331.38031606452046</v>
      </c>
      <c r="H68" s="77">
        <f t="shared" si="3"/>
        <v>3164.0386638878467</v>
      </c>
      <c r="I68" s="78">
        <f t="shared" si="4"/>
        <v>1.0546795546292822</v>
      </c>
      <c r="O68" s="69">
        <v>1</v>
      </c>
    </row>
    <row r="69" spans="1:15">
      <c r="A69" s="68">
        <v>55</v>
      </c>
      <c r="B69" s="69">
        <v>1</v>
      </c>
      <c r="C69" s="74">
        <f t="shared" si="7"/>
        <v>3</v>
      </c>
      <c r="D69" s="75">
        <f t="shared" si="8"/>
        <v>15</v>
      </c>
      <c r="E69" s="69">
        <f t="shared" si="5"/>
        <v>3000</v>
      </c>
      <c r="F69" s="70">
        <f t="shared" si="6"/>
        <v>1</v>
      </c>
      <c r="G69" s="76">
        <f t="shared" si="9"/>
        <v>329.44945125434049</v>
      </c>
      <c r="H69" s="77">
        <f t="shared" si="3"/>
        <v>3145.6026536060517</v>
      </c>
      <c r="I69" s="78">
        <f t="shared" si="4"/>
        <v>1.0485342178686838</v>
      </c>
      <c r="O69" s="69">
        <v>1</v>
      </c>
    </row>
    <row r="70" spans="1:15">
      <c r="A70" s="68">
        <v>56</v>
      </c>
      <c r="B70" s="69">
        <v>1</v>
      </c>
      <c r="C70" s="74">
        <f t="shared" si="7"/>
        <v>3</v>
      </c>
      <c r="D70" s="75">
        <f t="shared" si="8"/>
        <v>15</v>
      </c>
      <c r="E70" s="69">
        <f t="shared" si="5"/>
        <v>3000</v>
      </c>
      <c r="F70" s="70">
        <f t="shared" si="6"/>
        <v>1</v>
      </c>
      <c r="G70" s="76">
        <f t="shared" si="9"/>
        <v>327.73559286599755</v>
      </c>
      <c r="H70" s="77">
        <f t="shared" si="3"/>
        <v>3129.2386333481627</v>
      </c>
      <c r="I70" s="78">
        <f t="shared" si="4"/>
        <v>1.0430795444493877</v>
      </c>
      <c r="O70" s="69">
        <v>1</v>
      </c>
    </row>
    <row r="71" spans="1:15">
      <c r="A71" s="68">
        <v>57</v>
      </c>
      <c r="B71" s="69">
        <v>1</v>
      </c>
      <c r="C71" s="74">
        <f t="shared" si="7"/>
        <v>3</v>
      </c>
      <c r="D71" s="75">
        <f t="shared" si="8"/>
        <v>15</v>
      </c>
      <c r="E71" s="69">
        <f t="shared" si="5"/>
        <v>3000</v>
      </c>
      <c r="F71" s="70">
        <f t="shared" si="6"/>
        <v>1</v>
      </c>
      <c r="G71" s="76">
        <f t="shared" si="9"/>
        <v>326.21435193819821</v>
      </c>
      <c r="H71" s="77">
        <f t="shared" si="3"/>
        <v>3114.7137358834966</v>
      </c>
      <c r="I71" s="78">
        <f t="shared" si="4"/>
        <v>1.0382379119611655</v>
      </c>
      <c r="O71" s="69">
        <v>1</v>
      </c>
    </row>
    <row r="72" spans="1:15">
      <c r="A72" s="68">
        <v>58</v>
      </c>
      <c r="B72" s="69">
        <v>1</v>
      </c>
      <c r="C72" s="74">
        <f t="shared" si="7"/>
        <v>3</v>
      </c>
      <c r="D72" s="75">
        <f t="shared" si="8"/>
        <v>15</v>
      </c>
      <c r="E72" s="69">
        <f t="shared" si="5"/>
        <v>3000</v>
      </c>
      <c r="F72" s="70">
        <f t="shared" si="6"/>
        <v>1</v>
      </c>
      <c r="G72" s="76">
        <f t="shared" si="9"/>
        <v>324.86408054112587</v>
      </c>
      <c r="H72" s="77">
        <f t="shared" si="3"/>
        <v>3101.8212655104317</v>
      </c>
      <c r="I72" s="78">
        <f t="shared" si="4"/>
        <v>1.0339404218368105</v>
      </c>
      <c r="O72" s="69">
        <v>1</v>
      </c>
    </row>
    <row r="73" spans="1:15">
      <c r="A73" s="68">
        <v>59</v>
      </c>
      <c r="B73" s="69">
        <v>1</v>
      </c>
      <c r="C73" s="74">
        <f t="shared" si="7"/>
        <v>3</v>
      </c>
      <c r="D73" s="75">
        <f t="shared" si="8"/>
        <v>15</v>
      </c>
      <c r="E73" s="69">
        <f t="shared" si="5"/>
        <v>3000</v>
      </c>
      <c r="F73" s="70">
        <f t="shared" si="6"/>
        <v>1</v>
      </c>
      <c r="G73" s="76">
        <f t="shared" si="9"/>
        <v>323.66556371684533</v>
      </c>
      <c r="H73" s="77">
        <f t="shared" si="3"/>
        <v>3090.3777566853469</v>
      </c>
      <c r="I73" s="78">
        <f t="shared" si="4"/>
        <v>1.0301259188951157</v>
      </c>
      <c r="O73" s="69">
        <v>1</v>
      </c>
    </row>
    <row r="74" spans="1:15">
      <c r="A74" s="68">
        <v>60</v>
      </c>
      <c r="B74" s="69">
        <v>1</v>
      </c>
      <c r="C74" s="74">
        <f t="shared" si="7"/>
        <v>3</v>
      </c>
      <c r="D74" s="75">
        <f t="shared" si="8"/>
        <v>15</v>
      </c>
      <c r="E74" s="69">
        <f t="shared" si="5"/>
        <v>3000</v>
      </c>
      <c r="F74" s="70">
        <f t="shared" si="6"/>
        <v>1</v>
      </c>
      <c r="G74" s="76">
        <f t="shared" si="9"/>
        <v>322.6017460419705</v>
      </c>
      <c r="H74" s="77">
        <f t="shared" si="3"/>
        <v>3080.220363226962</v>
      </c>
      <c r="I74" s="78">
        <f t="shared" si="4"/>
        <v>1.0267401210756539</v>
      </c>
      <c r="O74" s="69">
        <v>1</v>
      </c>
    </row>
    <row r="75" spans="1:15">
      <c r="A75" s="68">
        <v>61</v>
      </c>
      <c r="B75" s="69">
        <v>1</v>
      </c>
      <c r="C75" s="74">
        <f t="shared" si="7"/>
        <v>3</v>
      </c>
      <c r="D75" s="75">
        <f t="shared" si="8"/>
        <v>15</v>
      </c>
      <c r="E75" s="69">
        <f t="shared" si="5"/>
        <v>3000</v>
      </c>
      <c r="F75" s="70">
        <f t="shared" si="6"/>
        <v>1</v>
      </c>
      <c r="G75" s="76">
        <f t="shared" si="9"/>
        <v>321.657488921462</v>
      </c>
      <c r="H75" s="77">
        <f t="shared" si="3"/>
        <v>3071.204540943304</v>
      </c>
      <c r="I75" s="78">
        <f t="shared" si="4"/>
        <v>1.0237348469811014</v>
      </c>
      <c r="O75" s="69">
        <v>1</v>
      </c>
    </row>
    <row r="76" spans="1:15">
      <c r="A76" s="68">
        <v>62</v>
      </c>
      <c r="B76" s="69">
        <v>1</v>
      </c>
      <c r="C76" s="74">
        <f t="shared" si="7"/>
        <v>3</v>
      </c>
      <c r="D76" s="75">
        <f t="shared" si="8"/>
        <v>15</v>
      </c>
      <c r="E76" s="69">
        <f t="shared" si="5"/>
        <v>3000</v>
      </c>
      <c r="F76" s="70">
        <f t="shared" si="6"/>
        <v>1</v>
      </c>
      <c r="G76" s="76">
        <f t="shared" si="9"/>
        <v>320.81935515973839</v>
      </c>
      <c r="H76" s="77">
        <f t="shared" si="3"/>
        <v>3063.2019907040585</v>
      </c>
      <c r="I76" s="78">
        <f t="shared" si="4"/>
        <v>1.0210673302346862</v>
      </c>
      <c r="O76" s="69">
        <v>1</v>
      </c>
    </row>
    <row r="77" spans="1:15">
      <c r="A77" s="68">
        <v>63</v>
      </c>
      <c r="B77" s="69">
        <v>1</v>
      </c>
      <c r="C77" s="74">
        <f t="shared" si="7"/>
        <v>3</v>
      </c>
      <c r="D77" s="75">
        <f t="shared" si="8"/>
        <v>15</v>
      </c>
      <c r="E77" s="69">
        <f t="shared" si="5"/>
        <v>3000</v>
      </c>
      <c r="F77" s="70">
        <f t="shared" si="6"/>
        <v>1</v>
      </c>
      <c r="G77" s="76">
        <f t="shared" si="9"/>
        <v>320.07541774345202</v>
      </c>
      <c r="H77" s="77">
        <f t="shared" si="3"/>
        <v>3056.0988326873207</v>
      </c>
      <c r="I77" s="78">
        <f t="shared" si="4"/>
        <v>1.0186996108957735</v>
      </c>
      <c r="O77" s="69">
        <v>1</v>
      </c>
    </row>
    <row r="78" spans="1:15">
      <c r="A78" s="68">
        <v>64</v>
      </c>
      <c r="B78" s="69">
        <v>1</v>
      </c>
      <c r="C78" s="74">
        <f t="shared" ref="C78:C109" si="10">B78*$D$2</f>
        <v>3</v>
      </c>
      <c r="D78" s="75">
        <f t="shared" ref="D78:D109" si="11">$D$7-C78*$I$4</f>
        <v>15</v>
      </c>
      <c r="E78" s="69">
        <f t="shared" si="5"/>
        <v>3000</v>
      </c>
      <c r="F78" s="70">
        <f t="shared" si="6"/>
        <v>1</v>
      </c>
      <c r="G78" s="76">
        <f t="shared" ref="G78:G113" si="12">($S$6*$D$7-$S$7*B78*$I$2+$S$8*G77)</f>
        <v>319.41509011482549</v>
      </c>
      <c r="H78" s="77">
        <f t="shared" ref="H78:H113" si="13">G78*60/(2*3.142)</f>
        <v>3049.7939858194668</v>
      </c>
      <c r="I78" s="78">
        <f t="shared" ref="I78:I113" si="14">H78/$D$1</f>
        <v>1.0165979952731556</v>
      </c>
      <c r="O78" s="69">
        <v>1</v>
      </c>
    </row>
    <row r="79" spans="1:15">
      <c r="A79" s="68">
        <v>65</v>
      </c>
      <c r="B79" s="69">
        <v>1</v>
      </c>
      <c r="C79" s="74">
        <f t="shared" si="10"/>
        <v>3</v>
      </c>
      <c r="D79" s="75">
        <f t="shared" si="11"/>
        <v>15</v>
      </c>
      <c r="E79" s="69">
        <f t="shared" ref="E79:E113" si="15">$D$1*(D79/$I$3)</f>
        <v>3000</v>
      </c>
      <c r="F79" s="70">
        <f t="shared" ref="F79:F113" si="16">E79/$D$1</f>
        <v>1</v>
      </c>
      <c r="G79" s="76">
        <f t="shared" si="12"/>
        <v>318.82897552026168</v>
      </c>
      <c r="H79" s="77">
        <f t="shared" si="13"/>
        <v>3044.1977293468653</v>
      </c>
      <c r="I79" s="78">
        <f t="shared" si="14"/>
        <v>1.0147325764489552</v>
      </c>
      <c r="O79" s="69">
        <v>1</v>
      </c>
    </row>
    <row r="80" spans="1:15">
      <c r="A80" s="68">
        <v>66</v>
      </c>
      <c r="B80" s="69">
        <v>1</v>
      </c>
      <c r="C80" s="74">
        <f t="shared" si="10"/>
        <v>3</v>
      </c>
      <c r="D80" s="75">
        <f t="shared" si="11"/>
        <v>15</v>
      </c>
      <c r="E80" s="69">
        <f t="shared" si="15"/>
        <v>3000</v>
      </c>
      <c r="F80" s="70">
        <f t="shared" si="16"/>
        <v>1</v>
      </c>
      <c r="G80" s="76">
        <f t="shared" si="12"/>
        <v>318.30873329039287</v>
      </c>
      <c r="H80" s="77">
        <f t="shared" si="13"/>
        <v>3039.2304260699511</v>
      </c>
      <c r="I80" s="78">
        <f t="shared" si="14"/>
        <v>1.0130768086899837</v>
      </c>
      <c r="O80" s="69">
        <v>1</v>
      </c>
    </row>
    <row r="81" spans="1:15">
      <c r="A81" s="68">
        <v>67</v>
      </c>
      <c r="B81" s="69">
        <v>1</v>
      </c>
      <c r="C81" s="74">
        <f t="shared" si="10"/>
        <v>3</v>
      </c>
      <c r="D81" s="75">
        <f t="shared" si="11"/>
        <v>15</v>
      </c>
      <c r="E81" s="69">
        <f t="shared" si="15"/>
        <v>3000</v>
      </c>
      <c r="F81" s="70">
        <f t="shared" si="16"/>
        <v>1</v>
      </c>
      <c r="G81" s="76">
        <f t="shared" si="12"/>
        <v>317.84696014867416</v>
      </c>
      <c r="H81" s="77">
        <f t="shared" si="13"/>
        <v>3034.8213890707275</v>
      </c>
      <c r="I81" s="78">
        <f t="shared" si="14"/>
        <v>1.0116071296902425</v>
      </c>
      <c r="O81" s="69">
        <v>1</v>
      </c>
    </row>
    <row r="82" spans="1:15">
      <c r="A82" s="68">
        <v>68</v>
      </c>
      <c r="B82" s="69">
        <v>1</v>
      </c>
      <c r="C82" s="74">
        <f t="shared" si="10"/>
        <v>3</v>
      </c>
      <c r="D82" s="75">
        <f t="shared" si="11"/>
        <v>15</v>
      </c>
      <c r="E82" s="69">
        <f t="shared" si="15"/>
        <v>3000</v>
      </c>
      <c r="F82" s="70">
        <f t="shared" si="16"/>
        <v>1</v>
      </c>
      <c r="G82" s="76">
        <f t="shared" si="12"/>
        <v>317.43708485949094</v>
      </c>
      <c r="H82" s="77">
        <f t="shared" si="13"/>
        <v>3030.9078758067244</v>
      </c>
      <c r="I82" s="78">
        <f t="shared" si="14"/>
        <v>1.0103026252689082</v>
      </c>
      <c r="O82" s="69">
        <v>1</v>
      </c>
    </row>
    <row r="83" spans="1:15">
      <c r="A83" s="68">
        <v>69</v>
      </c>
      <c r="B83" s="69">
        <v>1</v>
      </c>
      <c r="C83" s="74">
        <f t="shared" si="10"/>
        <v>3</v>
      </c>
      <c r="D83" s="75">
        <f t="shared" si="11"/>
        <v>15</v>
      </c>
      <c r="E83" s="69">
        <f t="shared" si="15"/>
        <v>3000</v>
      </c>
      <c r="F83" s="70">
        <f t="shared" si="16"/>
        <v>1</v>
      </c>
      <c r="G83" s="76">
        <f t="shared" si="12"/>
        <v>317.07327471657595</v>
      </c>
      <c r="H83" s="77">
        <f t="shared" si="13"/>
        <v>3027.4341952569316</v>
      </c>
      <c r="I83" s="78">
        <f t="shared" si="14"/>
        <v>1.0091447317523106</v>
      </c>
      <c r="O83" s="69">
        <v>1</v>
      </c>
    </row>
    <row r="84" spans="1:15">
      <c r="A84" s="68">
        <v>70</v>
      </c>
      <c r="B84" s="69">
        <v>1</v>
      </c>
      <c r="C84" s="74">
        <f t="shared" si="10"/>
        <v>3</v>
      </c>
      <c r="D84" s="75">
        <f t="shared" si="11"/>
        <v>15</v>
      </c>
      <c r="E84" s="69">
        <f t="shared" si="15"/>
        <v>3000</v>
      </c>
      <c r="F84" s="70">
        <f t="shared" si="16"/>
        <v>1</v>
      </c>
      <c r="G84" s="76">
        <f t="shared" si="12"/>
        <v>316.75035254102454</v>
      </c>
      <c r="H84" s="77">
        <f t="shared" si="13"/>
        <v>3024.3509154139833</v>
      </c>
      <c r="I84" s="78">
        <f t="shared" si="14"/>
        <v>1.0081169718046612</v>
      </c>
      <c r="O84" s="69">
        <v>1</v>
      </c>
    </row>
    <row r="85" spans="1:15">
      <c r="A85" s="68">
        <v>71</v>
      </c>
      <c r="B85" s="69">
        <v>1</v>
      </c>
      <c r="C85" s="74">
        <f t="shared" si="10"/>
        <v>3</v>
      </c>
      <c r="D85" s="75">
        <f t="shared" si="11"/>
        <v>15</v>
      </c>
      <c r="E85" s="69">
        <f t="shared" si="15"/>
        <v>3000</v>
      </c>
      <c r="F85" s="70">
        <f t="shared" si="16"/>
        <v>1</v>
      </c>
      <c r="G85" s="76">
        <f t="shared" si="12"/>
        <v>316.46372300775374</v>
      </c>
      <c r="H85" s="77">
        <f t="shared" si="13"/>
        <v>3021.6141598448803</v>
      </c>
      <c r="I85" s="78">
        <f t="shared" si="14"/>
        <v>1.0072047199482934</v>
      </c>
      <c r="O85" s="69">
        <v>1</v>
      </c>
    </row>
    <row r="86" spans="1:15">
      <c r="A86" s="68">
        <v>72</v>
      </c>
      <c r="B86" s="69">
        <v>1</v>
      </c>
      <c r="C86" s="74">
        <f t="shared" si="10"/>
        <v>3</v>
      </c>
      <c r="D86" s="75">
        <f t="shared" si="11"/>
        <v>15</v>
      </c>
      <c r="E86" s="69">
        <f t="shared" si="15"/>
        <v>3000</v>
      </c>
      <c r="F86" s="70">
        <f t="shared" si="16"/>
        <v>1</v>
      </c>
      <c r="G86" s="76">
        <f t="shared" si="12"/>
        <v>316.20930725199867</v>
      </c>
      <c r="H86" s="77">
        <f t="shared" si="13"/>
        <v>3019.1849833099814</v>
      </c>
      <c r="I86" s="78">
        <f t="shared" si="14"/>
        <v>1.0063949944366604</v>
      </c>
      <c r="O86" s="69">
        <v>1</v>
      </c>
    </row>
    <row r="87" spans="1:15">
      <c r="A87" s="68">
        <v>73</v>
      </c>
      <c r="B87" s="69">
        <v>1</v>
      </c>
      <c r="C87" s="74">
        <f t="shared" si="10"/>
        <v>3</v>
      </c>
      <c r="D87" s="75">
        <f t="shared" si="11"/>
        <v>15</v>
      </c>
      <c r="E87" s="69">
        <f t="shared" si="15"/>
        <v>3000</v>
      </c>
      <c r="F87" s="70">
        <f t="shared" si="16"/>
        <v>1</v>
      </c>
      <c r="G87" s="76">
        <f t="shared" si="12"/>
        <v>315.98348482526603</v>
      </c>
      <c r="H87" s="77">
        <f t="shared" si="13"/>
        <v>3017.0288175550545</v>
      </c>
      <c r="I87" s="78">
        <f t="shared" si="14"/>
        <v>1.0056762725183515</v>
      </c>
      <c r="O87" s="69">
        <v>1</v>
      </c>
    </row>
    <row r="88" spans="1:15">
      <c r="A88" s="68">
        <v>74</v>
      </c>
      <c r="B88" s="69">
        <v>1</v>
      </c>
      <c r="C88" s="74">
        <f t="shared" si="10"/>
        <v>3</v>
      </c>
      <c r="D88" s="75">
        <f t="shared" si="11"/>
        <v>15</v>
      </c>
      <c r="E88" s="69">
        <f t="shared" si="15"/>
        <v>3000</v>
      </c>
      <c r="F88" s="70">
        <f t="shared" si="16"/>
        <v>1</v>
      </c>
      <c r="G88" s="76">
        <f t="shared" si="12"/>
        <v>315.78304217475466</v>
      </c>
      <c r="H88" s="77">
        <f t="shared" si="13"/>
        <v>3015.1149793897644</v>
      </c>
      <c r="I88" s="78">
        <f t="shared" si="14"/>
        <v>1.0050383264632547</v>
      </c>
      <c r="O88" s="69">
        <v>1</v>
      </c>
    </row>
    <row r="89" spans="1:15">
      <c r="A89" s="68">
        <v>75</v>
      </c>
      <c r="B89" s="69">
        <v>1</v>
      </c>
      <c r="C89" s="74">
        <f t="shared" si="10"/>
        <v>3</v>
      </c>
      <c r="D89" s="75">
        <f t="shared" si="11"/>
        <v>15</v>
      </c>
      <c r="E89" s="69">
        <f t="shared" si="15"/>
        <v>3000</v>
      </c>
      <c r="F89" s="70">
        <f t="shared" si="16"/>
        <v>1</v>
      </c>
      <c r="G89" s="76">
        <f t="shared" si="12"/>
        <v>315.60512691308043</v>
      </c>
      <c r="H89" s="77">
        <f t="shared" si="13"/>
        <v>3013.4162340523276</v>
      </c>
      <c r="I89" s="78">
        <f t="shared" si="14"/>
        <v>1.0044720780174425</v>
      </c>
      <c r="O89" s="69">
        <v>1</v>
      </c>
    </row>
    <row r="90" spans="1:15">
      <c r="A90" s="68">
        <v>76</v>
      </c>
      <c r="B90" s="69">
        <v>1</v>
      </c>
      <c r="C90" s="74">
        <f t="shared" si="10"/>
        <v>3</v>
      </c>
      <c r="D90" s="75">
        <f t="shared" si="11"/>
        <v>15</v>
      </c>
      <c r="E90" s="69">
        <f t="shared" si="15"/>
        <v>3000</v>
      </c>
      <c r="F90" s="70">
        <f t="shared" si="16"/>
        <v>1</v>
      </c>
      <c r="G90" s="76">
        <f t="shared" si="12"/>
        <v>315.44720722754528</v>
      </c>
      <c r="H90" s="77">
        <f t="shared" si="13"/>
        <v>3011.9084076468357</v>
      </c>
      <c r="I90" s="78">
        <f t="shared" si="14"/>
        <v>1.0039694692156118</v>
      </c>
      <c r="O90" s="69">
        <v>1</v>
      </c>
    </row>
    <row r="91" spans="1:15">
      <c r="A91" s="68">
        <v>77</v>
      </c>
      <c r="B91" s="69">
        <v>1</v>
      </c>
      <c r="C91" s="74">
        <f t="shared" si="10"/>
        <v>3</v>
      </c>
      <c r="D91" s="75">
        <f t="shared" si="11"/>
        <v>15</v>
      </c>
      <c r="E91" s="69">
        <f t="shared" si="15"/>
        <v>3000</v>
      </c>
      <c r="F91" s="70">
        <f t="shared" si="16"/>
        <v>1</v>
      </c>
      <c r="G91" s="76">
        <f t="shared" si="12"/>
        <v>315.3070358513246</v>
      </c>
      <c r="H91" s="77">
        <f t="shared" si="13"/>
        <v>3010.5700431380451</v>
      </c>
      <c r="I91" s="78">
        <f t="shared" si="14"/>
        <v>1.0035233477126817</v>
      </c>
      <c r="O91" s="69">
        <v>1</v>
      </c>
    </row>
    <row r="92" spans="1:15">
      <c r="A92" s="68">
        <v>78</v>
      </c>
      <c r="B92" s="69">
        <v>1</v>
      </c>
      <c r="C92" s="74">
        <f t="shared" si="10"/>
        <v>3</v>
      </c>
      <c r="D92" s="75">
        <f t="shared" si="11"/>
        <v>15</v>
      </c>
      <c r="E92" s="69">
        <f t="shared" si="15"/>
        <v>3000</v>
      </c>
      <c r="F92" s="70">
        <f t="shared" si="16"/>
        <v>1</v>
      </c>
      <c r="G92" s="76">
        <f t="shared" si="12"/>
        <v>315.18261808386899</v>
      </c>
      <c r="H92" s="77">
        <f t="shared" si="13"/>
        <v>3009.3820950082973</v>
      </c>
      <c r="I92" s="78">
        <f t="shared" si="14"/>
        <v>1.0031273650027657</v>
      </c>
      <c r="O92" s="69">
        <v>1</v>
      </c>
    </row>
    <row r="93" spans="1:15">
      <c r="A93" s="68">
        <v>79</v>
      </c>
      <c r="B93" s="69">
        <v>1</v>
      </c>
      <c r="C93" s="74">
        <f t="shared" si="10"/>
        <v>3</v>
      </c>
      <c r="D93" s="75">
        <f t="shared" si="11"/>
        <v>15</v>
      </c>
      <c r="E93" s="69">
        <f t="shared" si="15"/>
        <v>3000</v>
      </c>
      <c r="F93" s="70">
        <f t="shared" si="16"/>
        <v>1</v>
      </c>
      <c r="G93" s="76">
        <f t="shared" si="12"/>
        <v>315.07218340543443</v>
      </c>
      <c r="H93" s="77">
        <f t="shared" si="13"/>
        <v>3008.3276582313915</v>
      </c>
      <c r="I93" s="78">
        <f t="shared" si="14"/>
        <v>1.0027758860771305</v>
      </c>
      <c r="O93" s="69">
        <v>1</v>
      </c>
    </row>
    <row r="94" spans="1:15">
      <c r="A94" s="68">
        <v>80</v>
      </c>
      <c r="B94" s="69">
        <v>0.8</v>
      </c>
      <c r="C94" s="74">
        <f t="shared" si="10"/>
        <v>2.4000000000000004</v>
      </c>
      <c r="D94" s="75">
        <f t="shared" si="11"/>
        <v>16.799999999999997</v>
      </c>
      <c r="E94" s="69">
        <f t="shared" si="15"/>
        <v>3359.9999999999995</v>
      </c>
      <c r="F94" s="70">
        <f t="shared" si="16"/>
        <v>1.1199999999999999</v>
      </c>
      <c r="G94" s="76">
        <f t="shared" si="12"/>
        <v>319.21164500150576</v>
      </c>
      <c r="H94" s="77">
        <f t="shared" si="13"/>
        <v>3047.8514799634545</v>
      </c>
      <c r="I94" s="78">
        <f t="shared" si="14"/>
        <v>1.0159504933211514</v>
      </c>
      <c r="O94" s="69">
        <v>0.8</v>
      </c>
    </row>
    <row r="95" spans="1:15">
      <c r="A95" s="68">
        <v>81</v>
      </c>
      <c r="B95" s="69">
        <v>0.8</v>
      </c>
      <c r="C95" s="74">
        <f t="shared" si="10"/>
        <v>2.4000000000000004</v>
      </c>
      <c r="D95" s="75">
        <f t="shared" si="11"/>
        <v>16.799999999999997</v>
      </c>
      <c r="E95" s="69">
        <f t="shared" si="15"/>
        <v>3359.9999999999995</v>
      </c>
      <c r="F95" s="70">
        <f t="shared" si="16"/>
        <v>1.1199999999999999</v>
      </c>
      <c r="G95" s="76">
        <f t="shared" si="12"/>
        <v>322.88587995687215</v>
      </c>
      <c r="H95" s="77">
        <f t="shared" si="13"/>
        <v>3082.9332904857301</v>
      </c>
      <c r="I95" s="78">
        <f t="shared" si="14"/>
        <v>1.0276444301619101</v>
      </c>
      <c r="O95" s="69">
        <v>0.8</v>
      </c>
    </row>
    <row r="96" spans="1:15">
      <c r="A96" s="68">
        <v>82</v>
      </c>
      <c r="B96" s="69">
        <v>0.8</v>
      </c>
      <c r="C96" s="74">
        <f t="shared" si="10"/>
        <v>2.4000000000000004</v>
      </c>
      <c r="D96" s="75">
        <f t="shared" si="11"/>
        <v>16.799999999999997</v>
      </c>
      <c r="E96" s="69">
        <f t="shared" si="15"/>
        <v>3359.9999999999995</v>
      </c>
      <c r="F96" s="70">
        <f t="shared" si="16"/>
        <v>1.1199999999999999</v>
      </c>
      <c r="G96" s="76">
        <f t="shared" si="12"/>
        <v>326.14717425660643</v>
      </c>
      <c r="H96" s="77">
        <f t="shared" si="13"/>
        <v>3114.0723194456377</v>
      </c>
      <c r="I96" s="78">
        <f t="shared" si="14"/>
        <v>1.0380241064818791</v>
      </c>
      <c r="O96" s="69">
        <v>0.8</v>
      </c>
    </row>
    <row r="97" spans="1:15">
      <c r="A97" s="68">
        <v>83</v>
      </c>
      <c r="B97" s="69">
        <v>0.8</v>
      </c>
      <c r="C97" s="74">
        <f t="shared" si="10"/>
        <v>2.4000000000000004</v>
      </c>
      <c r="D97" s="75">
        <f t="shared" si="11"/>
        <v>16.799999999999997</v>
      </c>
      <c r="E97" s="69">
        <f t="shared" si="15"/>
        <v>3359.9999999999995</v>
      </c>
      <c r="F97" s="70">
        <f t="shared" si="16"/>
        <v>1.1199999999999999</v>
      </c>
      <c r="G97" s="76">
        <f t="shared" si="12"/>
        <v>329.0419375579965</v>
      </c>
      <c r="H97" s="77">
        <f t="shared" si="13"/>
        <v>3141.7116889687763</v>
      </c>
      <c r="I97" s="78">
        <f t="shared" si="14"/>
        <v>1.0472372296562589</v>
      </c>
      <c r="O97" s="69">
        <v>0.8</v>
      </c>
    </row>
    <row r="98" spans="1:15">
      <c r="A98" s="68">
        <v>84</v>
      </c>
      <c r="B98" s="69">
        <v>0.8</v>
      </c>
      <c r="C98" s="74">
        <f t="shared" si="10"/>
        <v>2.4000000000000004</v>
      </c>
      <c r="D98" s="75">
        <f t="shared" si="11"/>
        <v>16.799999999999997</v>
      </c>
      <c r="E98" s="69">
        <f t="shared" si="15"/>
        <v>3359.9999999999995</v>
      </c>
      <c r="F98" s="70">
        <f t="shared" si="16"/>
        <v>1.1199999999999999</v>
      </c>
      <c r="G98" s="76">
        <f t="shared" si="12"/>
        <v>331.61136362045204</v>
      </c>
      <c r="H98" s="77">
        <f t="shared" si="13"/>
        <v>3166.2447194823558</v>
      </c>
      <c r="I98" s="78">
        <f t="shared" si="14"/>
        <v>1.0554149064941185</v>
      </c>
      <c r="O98" s="69">
        <v>0.8</v>
      </c>
    </row>
    <row r="99" spans="1:15">
      <c r="A99" s="68">
        <v>85</v>
      </c>
      <c r="B99" s="69">
        <v>0.8</v>
      </c>
      <c r="C99" s="74">
        <f t="shared" si="10"/>
        <v>2.4000000000000004</v>
      </c>
      <c r="D99" s="75">
        <f t="shared" si="11"/>
        <v>16.799999999999997</v>
      </c>
      <c r="E99" s="69">
        <f t="shared" si="15"/>
        <v>3359.9999999999995</v>
      </c>
      <c r="F99" s="70">
        <f t="shared" si="16"/>
        <v>1.1199999999999999</v>
      </c>
      <c r="G99" s="76">
        <f t="shared" si="12"/>
        <v>333.89201651088189</v>
      </c>
      <c r="H99" s="77">
        <f t="shared" si="13"/>
        <v>3188.0205268384648</v>
      </c>
      <c r="I99" s="78">
        <f t="shared" si="14"/>
        <v>1.062673508946155</v>
      </c>
      <c r="O99" s="69">
        <v>0.8</v>
      </c>
    </row>
    <row r="100" spans="1:15">
      <c r="A100" s="68">
        <v>86</v>
      </c>
      <c r="B100" s="69">
        <v>0.8</v>
      </c>
      <c r="C100" s="74">
        <f t="shared" si="10"/>
        <v>2.4000000000000004</v>
      </c>
      <c r="D100" s="75">
        <f t="shared" si="11"/>
        <v>16.799999999999997</v>
      </c>
      <c r="E100" s="69">
        <f t="shared" si="15"/>
        <v>3359.9999999999995</v>
      </c>
      <c r="F100" s="70">
        <f t="shared" si="16"/>
        <v>1.1199999999999999</v>
      </c>
      <c r="G100" s="76">
        <f t="shared" si="12"/>
        <v>335.91635092650438</v>
      </c>
      <c r="H100" s="77">
        <f t="shared" si="13"/>
        <v>3207.348990386738</v>
      </c>
      <c r="I100" s="78">
        <f t="shared" si="14"/>
        <v>1.0691163301289126</v>
      </c>
      <c r="O100" s="69">
        <v>0.8</v>
      </c>
    </row>
    <row r="101" spans="1:15">
      <c r="A101" s="68">
        <v>87</v>
      </c>
      <c r="B101" s="69">
        <v>0.8</v>
      </c>
      <c r="C101" s="74">
        <f t="shared" si="10"/>
        <v>2.4000000000000004</v>
      </c>
      <c r="D101" s="75">
        <f t="shared" si="11"/>
        <v>16.799999999999997</v>
      </c>
      <c r="E101" s="69">
        <f t="shared" si="15"/>
        <v>3359.9999999999995</v>
      </c>
      <c r="F101" s="70">
        <f t="shared" si="16"/>
        <v>1.1199999999999999</v>
      </c>
      <c r="G101" s="76">
        <f t="shared" si="12"/>
        <v>337.71317403951275</v>
      </c>
      <c r="H101" s="77">
        <f t="shared" si="13"/>
        <v>3224.5051626942659</v>
      </c>
      <c r="I101" s="78">
        <f t="shared" si="14"/>
        <v>1.074835054231422</v>
      </c>
      <c r="O101" s="69">
        <v>0.8</v>
      </c>
    </row>
    <row r="102" spans="1:15">
      <c r="A102" s="68">
        <v>88</v>
      </c>
      <c r="B102" s="69">
        <v>0.8</v>
      </c>
      <c r="C102" s="74">
        <f t="shared" si="10"/>
        <v>2.4000000000000004</v>
      </c>
      <c r="D102" s="75">
        <f t="shared" si="11"/>
        <v>16.799999999999997</v>
      </c>
      <c r="E102" s="69">
        <f t="shared" si="15"/>
        <v>3359.9999999999995</v>
      </c>
      <c r="F102" s="70">
        <f t="shared" si="16"/>
        <v>1.1199999999999999</v>
      </c>
      <c r="G102" s="76">
        <f t="shared" si="12"/>
        <v>339.30805543584972</v>
      </c>
      <c r="H102" s="77">
        <f t="shared" si="13"/>
        <v>3239.7331836650201</v>
      </c>
      <c r="I102" s="78">
        <f t="shared" si="14"/>
        <v>1.0799110612216734</v>
      </c>
      <c r="O102" s="69">
        <v>0.8</v>
      </c>
    </row>
    <row r="103" spans="1:15">
      <c r="A103" s="68">
        <v>89</v>
      </c>
      <c r="B103" s="69">
        <v>0.8</v>
      </c>
      <c r="C103" s="74">
        <f t="shared" si="10"/>
        <v>2.4000000000000004</v>
      </c>
      <c r="D103" s="75">
        <f t="shared" si="11"/>
        <v>16.799999999999997</v>
      </c>
      <c r="E103" s="69">
        <f t="shared" si="15"/>
        <v>3359.9999999999995</v>
      </c>
      <c r="F103" s="70">
        <f t="shared" si="16"/>
        <v>1.1199999999999999</v>
      </c>
      <c r="G103" s="76">
        <f t="shared" si="12"/>
        <v>340.72369098170105</v>
      </c>
      <c r="H103" s="77">
        <f t="shared" si="13"/>
        <v>3253.2497547584444</v>
      </c>
      <c r="I103" s="78">
        <f t="shared" si="14"/>
        <v>1.0844165849194816</v>
      </c>
      <c r="O103" s="69">
        <v>0.8</v>
      </c>
    </row>
    <row r="104" spans="1:15">
      <c r="A104" s="68">
        <v>90</v>
      </c>
      <c r="B104" s="69">
        <v>0.8</v>
      </c>
      <c r="C104" s="74">
        <f t="shared" si="10"/>
        <v>2.4000000000000004</v>
      </c>
      <c r="D104" s="75">
        <f t="shared" si="11"/>
        <v>16.799999999999997</v>
      </c>
      <c r="E104" s="69">
        <f t="shared" si="15"/>
        <v>3359.9999999999995</v>
      </c>
      <c r="F104" s="70">
        <f t="shared" si="16"/>
        <v>1.1199999999999999</v>
      </c>
      <c r="G104" s="76">
        <f t="shared" si="12"/>
        <v>341.98022579568811</v>
      </c>
      <c r="H104" s="77">
        <f t="shared" si="13"/>
        <v>3265.2472227468629</v>
      </c>
      <c r="I104" s="78">
        <f t="shared" si="14"/>
        <v>1.088415740915621</v>
      </c>
      <c r="O104" s="69">
        <v>0.8</v>
      </c>
    </row>
    <row r="105" spans="1:15">
      <c r="A105" s="68">
        <v>91</v>
      </c>
      <c r="B105" s="69">
        <v>0.8</v>
      </c>
      <c r="C105" s="74">
        <f t="shared" si="10"/>
        <v>2.4000000000000004</v>
      </c>
      <c r="D105" s="75">
        <f t="shared" si="11"/>
        <v>16.799999999999997</v>
      </c>
      <c r="E105" s="69">
        <f t="shared" si="15"/>
        <v>3359.9999999999995</v>
      </c>
      <c r="F105" s="70">
        <f t="shared" si="16"/>
        <v>1.1199999999999999</v>
      </c>
      <c r="G105" s="76">
        <f t="shared" si="12"/>
        <v>343.09554092279734</v>
      </c>
      <c r="H105" s="77">
        <f t="shared" si="13"/>
        <v>3275.8963168949463</v>
      </c>
      <c r="I105" s="78">
        <f t="shared" si="14"/>
        <v>1.091965438964982</v>
      </c>
      <c r="O105" s="69">
        <v>0.8</v>
      </c>
    </row>
    <row r="106" spans="1:15">
      <c r="A106" s="68">
        <v>92</v>
      </c>
      <c r="B106" s="69">
        <v>0.8</v>
      </c>
      <c r="C106" s="74">
        <f t="shared" si="10"/>
        <v>2.4000000000000004</v>
      </c>
      <c r="D106" s="75">
        <f t="shared" si="11"/>
        <v>16.799999999999997</v>
      </c>
      <c r="E106" s="69">
        <f t="shared" si="15"/>
        <v>3359.9999999999995</v>
      </c>
      <c r="F106" s="70">
        <f t="shared" si="16"/>
        <v>1.1199999999999999</v>
      </c>
      <c r="G106" s="76">
        <f t="shared" si="12"/>
        <v>344.08550778954231</v>
      </c>
      <c r="H106" s="77">
        <f t="shared" si="13"/>
        <v>3285.3485785124985</v>
      </c>
      <c r="I106" s="78">
        <f t="shared" si="14"/>
        <v>1.0951161928374995</v>
      </c>
      <c r="O106" s="69">
        <v>0.8</v>
      </c>
    </row>
    <row r="107" spans="1:15">
      <c r="A107" s="68">
        <v>93</v>
      </c>
      <c r="B107" s="69">
        <v>0.8</v>
      </c>
      <c r="C107" s="74">
        <f t="shared" si="10"/>
        <v>2.4000000000000004</v>
      </c>
      <c r="D107" s="75">
        <f t="shared" si="11"/>
        <v>16.799999999999997</v>
      </c>
      <c r="E107" s="69">
        <f t="shared" si="15"/>
        <v>3359.9999999999995</v>
      </c>
      <c r="F107" s="70">
        <f t="shared" si="16"/>
        <v>1.1199999999999999</v>
      </c>
      <c r="G107" s="76">
        <f t="shared" si="12"/>
        <v>344.96421406136784</v>
      </c>
      <c r="H107" s="77">
        <f t="shared" si="13"/>
        <v>3293.7385174541805</v>
      </c>
      <c r="I107" s="78">
        <f t="shared" si="14"/>
        <v>1.0979128391513935</v>
      </c>
      <c r="O107" s="69">
        <v>0.8</v>
      </c>
    </row>
    <row r="108" spans="1:15">
      <c r="A108" s="68">
        <v>94</v>
      </c>
      <c r="B108" s="69">
        <v>0.8</v>
      </c>
      <c r="C108" s="74">
        <f t="shared" si="10"/>
        <v>2.4000000000000004</v>
      </c>
      <c r="D108" s="75">
        <f t="shared" si="11"/>
        <v>16.799999999999997</v>
      </c>
      <c r="E108" s="69">
        <f t="shared" si="15"/>
        <v>3359.9999999999995</v>
      </c>
      <c r="F108" s="70">
        <f t="shared" si="16"/>
        <v>1.1199999999999999</v>
      </c>
      <c r="G108" s="76">
        <f t="shared" si="12"/>
        <v>345.74416411634729</v>
      </c>
      <c r="H108" s="77">
        <f t="shared" si="13"/>
        <v>3301.1855262541117</v>
      </c>
      <c r="I108" s="78">
        <f t="shared" si="14"/>
        <v>1.1003951754180372</v>
      </c>
      <c r="O108" s="69">
        <v>0.8</v>
      </c>
    </row>
    <row r="109" spans="1:15">
      <c r="A109" s="68">
        <v>95</v>
      </c>
      <c r="B109" s="69">
        <v>0.8</v>
      </c>
      <c r="C109" s="74">
        <f t="shared" si="10"/>
        <v>2.4000000000000004</v>
      </c>
      <c r="D109" s="75">
        <f t="shared" si="11"/>
        <v>16.799999999999997</v>
      </c>
      <c r="E109" s="69">
        <f t="shared" si="15"/>
        <v>3359.9999999999995</v>
      </c>
      <c r="F109" s="70">
        <f t="shared" si="16"/>
        <v>1.1199999999999999</v>
      </c>
      <c r="G109" s="76">
        <f t="shared" si="12"/>
        <v>346.43645698800123</v>
      </c>
      <c r="H109" s="77">
        <f t="shared" si="13"/>
        <v>3307.7955791343215</v>
      </c>
      <c r="I109" s="78">
        <f t="shared" si="14"/>
        <v>1.1025985263781073</v>
      </c>
      <c r="O109" s="69">
        <v>0.8</v>
      </c>
    </row>
    <row r="110" spans="1:15">
      <c r="A110" s="68">
        <v>96</v>
      </c>
      <c r="B110" s="69">
        <v>0.8</v>
      </c>
      <c r="C110" s="74">
        <f t="shared" ref="C110:C113" si="17">B110*$D$2</f>
        <v>2.4000000000000004</v>
      </c>
      <c r="D110" s="75">
        <f t="shared" ref="D110:D113" si="18">$D$7-C110*$I$4</f>
        <v>16.799999999999997</v>
      </c>
      <c r="E110" s="69">
        <f t="shared" si="15"/>
        <v>3359.9999999999995</v>
      </c>
      <c r="F110" s="70">
        <f t="shared" si="16"/>
        <v>1.1199999999999999</v>
      </c>
      <c r="G110" s="76">
        <f t="shared" si="12"/>
        <v>347.0509443094432</v>
      </c>
      <c r="H110" s="77">
        <f t="shared" si="13"/>
        <v>3313.6627400647026</v>
      </c>
      <c r="I110" s="78">
        <f t="shared" si="14"/>
        <v>1.1045542466882341</v>
      </c>
      <c r="O110" s="69">
        <v>0.8</v>
      </c>
    </row>
    <row r="111" spans="1:15">
      <c r="A111" s="68">
        <v>97</v>
      </c>
      <c r="B111" s="69">
        <v>0.8</v>
      </c>
      <c r="C111" s="74">
        <f t="shared" si="17"/>
        <v>2.4000000000000004</v>
      </c>
      <c r="D111" s="75">
        <f t="shared" si="18"/>
        <v>16.799999999999997</v>
      </c>
      <c r="E111" s="69">
        <f t="shared" si="15"/>
        <v>3359.9999999999995</v>
      </c>
      <c r="F111" s="70">
        <f t="shared" si="16"/>
        <v>1.1199999999999999</v>
      </c>
      <c r="G111" s="76">
        <f t="shared" si="12"/>
        <v>347.59637050646711</v>
      </c>
      <c r="H111" s="77">
        <f t="shared" si="13"/>
        <v>3318.8705013348231</v>
      </c>
      <c r="I111" s="78">
        <f t="shared" si="14"/>
        <v>1.1062901671116077</v>
      </c>
      <c r="O111" s="69">
        <v>0.8</v>
      </c>
    </row>
    <row r="112" spans="1:15">
      <c r="A112" s="68">
        <v>98</v>
      </c>
      <c r="B112" s="69">
        <v>0.8</v>
      </c>
      <c r="C112" s="74">
        <f t="shared" si="17"/>
        <v>2.4000000000000004</v>
      </c>
      <c r="D112" s="75">
        <f t="shared" si="18"/>
        <v>16.799999999999997</v>
      </c>
      <c r="E112" s="69">
        <f t="shared" si="15"/>
        <v>3359.9999999999995</v>
      </c>
      <c r="F112" s="70">
        <f t="shared" si="16"/>
        <v>1.1199999999999999</v>
      </c>
      <c r="G112" s="76">
        <f t="shared" si="12"/>
        <v>348.08049723458549</v>
      </c>
      <c r="H112" s="77">
        <f t="shared" si="13"/>
        <v>3323.4929716860483</v>
      </c>
      <c r="I112" s="78">
        <f t="shared" si="14"/>
        <v>1.1078309905620161</v>
      </c>
      <c r="O112" s="69">
        <v>0.8</v>
      </c>
    </row>
    <row r="113" spans="1:15" ht="16" thickBot="1">
      <c r="A113" s="79">
        <v>99</v>
      </c>
      <c r="B113" s="80">
        <v>0.8</v>
      </c>
      <c r="C113" s="81">
        <f t="shared" si="17"/>
        <v>2.4000000000000004</v>
      </c>
      <c r="D113" s="82">
        <f t="shared" si="18"/>
        <v>16.799999999999997</v>
      </c>
      <c r="E113" s="80">
        <f t="shared" si="15"/>
        <v>3359.9999999999995</v>
      </c>
      <c r="F113" s="83">
        <f t="shared" si="16"/>
        <v>1.1199999999999999</v>
      </c>
      <c r="G113" s="84">
        <f t="shared" si="12"/>
        <v>348.51021383081337</v>
      </c>
      <c r="H113" s="85">
        <f t="shared" si="13"/>
        <v>3327.5959309116492</v>
      </c>
      <c r="I113" s="86">
        <f t="shared" si="14"/>
        <v>1.1091986436372163</v>
      </c>
      <c r="O113" s="80">
        <v>0.8</v>
      </c>
    </row>
  </sheetData>
  <mergeCells count="2">
    <mergeCell ref="A11:F11"/>
    <mergeCell ref="G11:L1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5"/>
  <sheetViews>
    <sheetView workbookViewId="0">
      <selection activeCell="O17" sqref="O16:O115"/>
    </sheetView>
  </sheetViews>
  <sheetFormatPr baseColWidth="10" defaultRowHeight="15" x14ac:dyDescent="0"/>
  <cols>
    <col min="5" max="5" width="13.1640625" customWidth="1"/>
    <col min="8" max="8" width="11.5" customWidth="1"/>
    <col min="12" max="12" width="10.83203125" style="64"/>
    <col min="16" max="16" width="12" customWidth="1"/>
    <col min="19" max="19" width="13.33203125" customWidth="1"/>
    <col min="23" max="23" width="11.6640625" customWidth="1"/>
  </cols>
  <sheetData>
    <row r="1" spans="1:26">
      <c r="A1" t="s">
        <v>134</v>
      </c>
      <c r="H1" t="s">
        <v>135</v>
      </c>
      <c r="I1" t="s">
        <v>136</v>
      </c>
      <c r="K1" t="s">
        <v>88</v>
      </c>
      <c r="L1" s="65" t="s">
        <v>90</v>
      </c>
      <c r="M1" s="22">
        <f>Steuerung!I4</f>
        <v>3</v>
      </c>
      <c r="N1" s="4" t="s">
        <v>93</v>
      </c>
      <c r="P1" t="s">
        <v>129</v>
      </c>
      <c r="U1" t="s">
        <v>118</v>
      </c>
    </row>
    <row r="2" spans="1:26">
      <c r="A2" t="s">
        <v>85</v>
      </c>
      <c r="H2" t="s">
        <v>86</v>
      </c>
      <c r="I2" t="s">
        <v>87</v>
      </c>
      <c r="K2" t="s">
        <v>89</v>
      </c>
      <c r="L2" s="68" t="s">
        <v>82</v>
      </c>
      <c r="M2" s="63">
        <f>Steuerung!O11*0.001</f>
        <v>1E-3</v>
      </c>
      <c r="N2" s="7" t="s">
        <v>94</v>
      </c>
      <c r="P2" t="s">
        <v>128</v>
      </c>
    </row>
    <row r="3" spans="1:26" ht="16" thickBot="1">
      <c r="L3" s="68" t="s">
        <v>91</v>
      </c>
      <c r="M3" s="14">
        <f>Steuerung!I2/Steuerung!D2</f>
        <v>4.7740292807129214E-2</v>
      </c>
      <c r="N3" s="7" t="s">
        <v>95</v>
      </c>
      <c r="T3" t="s">
        <v>155</v>
      </c>
      <c r="W3" t="s">
        <v>174</v>
      </c>
    </row>
    <row r="4" spans="1:26">
      <c r="A4" t="s">
        <v>108</v>
      </c>
      <c r="H4" s="91" t="s">
        <v>98</v>
      </c>
      <c r="I4" s="92">
        <f>-M1/M2</f>
        <v>-3000</v>
      </c>
      <c r="J4" s="93" t="s">
        <v>35</v>
      </c>
      <c r="L4" s="68" t="s">
        <v>92</v>
      </c>
      <c r="M4" s="16">
        <f>Steuerung!I6</f>
        <v>20.946666666666665</v>
      </c>
      <c r="N4" s="7" t="s">
        <v>37</v>
      </c>
      <c r="P4" s="91" t="s">
        <v>125</v>
      </c>
      <c r="Q4" s="92">
        <f>I4*F11</f>
        <v>-30</v>
      </c>
      <c r="R4" s="93"/>
      <c r="T4" t="s">
        <v>149</v>
      </c>
      <c r="U4" t="s">
        <v>150</v>
      </c>
      <c r="W4" s="2" t="s">
        <v>170</v>
      </c>
      <c r="X4" s="3">
        <f>Q4</f>
        <v>-30</v>
      </c>
      <c r="Y4" s="4"/>
    </row>
    <row r="5" spans="1:26" ht="16" thickBot="1">
      <c r="A5" t="s">
        <v>109</v>
      </c>
      <c r="E5" t="s">
        <v>112</v>
      </c>
      <c r="H5" s="94" t="s">
        <v>99</v>
      </c>
      <c r="I5" s="16">
        <f>-1/(M4*M2)</f>
        <v>-47.740292807129222</v>
      </c>
      <c r="J5" s="95" t="s">
        <v>8</v>
      </c>
      <c r="L5" s="79" t="s">
        <v>97</v>
      </c>
      <c r="M5" s="10">
        <f>Steuerung!D5*Steuerung!E5</f>
        <v>5.9999999999999995E-5</v>
      </c>
      <c r="N5" s="11" t="str">
        <f>Steuerung!F5</f>
        <v>kg m2</v>
      </c>
      <c r="P5" s="94" t="s">
        <v>120</v>
      </c>
      <c r="Q5" s="16">
        <f>I5*F11</f>
        <v>-0.47740292807129225</v>
      </c>
      <c r="R5" s="95" t="s">
        <v>126</v>
      </c>
      <c r="T5" t="s">
        <v>151</v>
      </c>
      <c r="U5" t="s">
        <v>152</v>
      </c>
      <c r="W5" s="5" t="s">
        <v>171</v>
      </c>
      <c r="X5" s="16">
        <f>Q5-U9</f>
        <v>7.4895970719287073</v>
      </c>
      <c r="Y5" s="7"/>
    </row>
    <row r="6" spans="1:26" ht="16" thickBot="1">
      <c r="A6" t="s">
        <v>110</v>
      </c>
      <c r="E6" t="s">
        <v>113</v>
      </c>
      <c r="H6" s="94" t="s">
        <v>100</v>
      </c>
      <c r="I6" s="96">
        <f>M3/M5</f>
        <v>795.67154678548695</v>
      </c>
      <c r="J6" s="95" t="s">
        <v>106</v>
      </c>
      <c r="L6" s="111" t="s">
        <v>117</v>
      </c>
      <c r="M6">
        <f>2*3.142</f>
        <v>6.2839999999999998</v>
      </c>
      <c r="P6" s="94" t="s">
        <v>121</v>
      </c>
      <c r="Q6" s="16">
        <f>I6*F11</f>
        <v>7.9567154678548695</v>
      </c>
      <c r="R6" s="95" t="s">
        <v>105</v>
      </c>
      <c r="T6" t="s">
        <v>153</v>
      </c>
      <c r="U6" t="s">
        <v>154</v>
      </c>
      <c r="W6" s="5" t="s">
        <v>172</v>
      </c>
      <c r="X6" s="16">
        <f>Q6</f>
        <v>7.9567154678548695</v>
      </c>
      <c r="Y6" s="7"/>
    </row>
    <row r="7" spans="1:26" ht="16" thickBot="1">
      <c r="H7" s="94" t="s">
        <v>101</v>
      </c>
      <c r="I7" s="6">
        <v>0</v>
      </c>
      <c r="J7" s="95"/>
      <c r="L7" s="112" t="s">
        <v>137</v>
      </c>
      <c r="M7" s="105"/>
      <c r="N7" s="106"/>
      <c r="P7" s="94" t="s">
        <v>122</v>
      </c>
      <c r="Q7" s="6">
        <f>I7</f>
        <v>0</v>
      </c>
      <c r="R7" s="95"/>
      <c r="W7" s="8" t="s">
        <v>173</v>
      </c>
      <c r="X7" s="9">
        <f>Q7-U10</f>
        <v>-2.2000000000000002</v>
      </c>
      <c r="Y7" s="11"/>
    </row>
    <row r="8" spans="1:26">
      <c r="H8" s="94" t="s">
        <v>102</v>
      </c>
      <c r="I8" s="6">
        <f>1/M2</f>
        <v>1000</v>
      </c>
      <c r="J8" s="95" t="s">
        <v>104</v>
      </c>
      <c r="L8" s="113" t="s">
        <v>138</v>
      </c>
      <c r="M8" s="129">
        <v>0</v>
      </c>
      <c r="N8" s="108" t="s">
        <v>93</v>
      </c>
      <c r="O8" s="129">
        <v>-1.3</v>
      </c>
      <c r="P8" s="94" t="s">
        <v>123</v>
      </c>
      <c r="Q8" s="6">
        <f>I8*F11</f>
        <v>10</v>
      </c>
      <c r="R8" s="95" t="s">
        <v>127</v>
      </c>
      <c r="T8" s="133" t="s">
        <v>166</v>
      </c>
      <c r="U8" s="48"/>
      <c r="V8" s="134"/>
      <c r="W8" s="13" t="s">
        <v>177</v>
      </c>
      <c r="Z8">
        <f>1/(1-$X$7)</f>
        <v>0.3125</v>
      </c>
    </row>
    <row r="9" spans="1:26" ht="16" thickBot="1">
      <c r="H9" s="97" t="s">
        <v>103</v>
      </c>
      <c r="I9" s="98">
        <v>0</v>
      </c>
      <c r="J9" s="99"/>
      <c r="L9" s="113" t="s">
        <v>139</v>
      </c>
      <c r="M9" s="129">
        <v>0</v>
      </c>
      <c r="N9" s="108" t="s">
        <v>95</v>
      </c>
      <c r="O9" s="129">
        <v>0.03</v>
      </c>
      <c r="P9" s="97" t="s">
        <v>124</v>
      </c>
      <c r="Q9" s="98">
        <v>0</v>
      </c>
      <c r="R9" s="99"/>
      <c r="T9" s="135" t="s">
        <v>167</v>
      </c>
      <c r="U9" s="136">
        <v>-7.9669999999999996</v>
      </c>
      <c r="V9" s="136"/>
      <c r="W9" s="13" t="s">
        <v>178</v>
      </c>
      <c r="Z9">
        <f>1/(1-$X$4-X5*X6*Z8)</f>
        <v>8.0792968585758212E-2</v>
      </c>
    </row>
    <row r="10" spans="1:26" ht="16" thickBot="1">
      <c r="L10" s="120" t="s">
        <v>147</v>
      </c>
      <c r="M10" s="121" t="s">
        <v>157</v>
      </c>
      <c r="N10" s="122"/>
      <c r="P10" s="100" t="s">
        <v>130</v>
      </c>
      <c r="Q10" s="101"/>
      <c r="R10" s="102">
        <f>1-Q4-Q5*Q6</f>
        <v>34.798559262184057</v>
      </c>
      <c r="T10" s="135" t="s">
        <v>168</v>
      </c>
      <c r="U10" s="136">
        <v>2.2000000000000002</v>
      </c>
      <c r="V10" s="136"/>
      <c r="W10" s="13"/>
    </row>
    <row r="11" spans="1:26" ht="16" thickBot="1">
      <c r="A11" s="18" t="s">
        <v>16</v>
      </c>
      <c r="B11" s="19"/>
      <c r="C11" s="19"/>
      <c r="D11" s="19"/>
      <c r="E11" s="19" t="s">
        <v>111</v>
      </c>
      <c r="F11" s="19">
        <v>0.01</v>
      </c>
      <c r="G11" s="25" t="s">
        <v>34</v>
      </c>
      <c r="H11" s="19" t="s">
        <v>69</v>
      </c>
      <c r="I11" s="19"/>
      <c r="J11" s="26"/>
      <c r="L11" s="123" t="s">
        <v>145</v>
      </c>
      <c r="M11" s="124">
        <v>0</v>
      </c>
      <c r="N11" s="125"/>
      <c r="T11" s="137"/>
      <c r="U11" s="138"/>
      <c r="V11" s="139"/>
      <c r="W11" s="13"/>
    </row>
    <row r="12" spans="1:26" ht="16" thickBot="1">
      <c r="L12" s="126" t="s">
        <v>146</v>
      </c>
      <c r="M12" s="128">
        <f>-1*F11/M5</f>
        <v>-166.66666666666669</v>
      </c>
      <c r="N12" s="127"/>
      <c r="W12" s="13"/>
    </row>
    <row r="13" spans="1:26">
      <c r="E13" s="140"/>
      <c r="G13" s="140"/>
      <c r="L13" s="69"/>
      <c r="M13" s="6"/>
      <c r="N13" s="6"/>
      <c r="P13" s="142" t="s">
        <v>169</v>
      </c>
      <c r="Q13" s="143"/>
      <c r="R13" s="103"/>
      <c r="S13" s="103"/>
      <c r="T13" s="103"/>
      <c r="U13" s="103"/>
    </row>
    <row r="14" spans="1:26">
      <c r="A14" s="64" t="s">
        <v>17</v>
      </c>
      <c r="B14" s="64" t="s">
        <v>141</v>
      </c>
      <c r="C14" s="119" t="s">
        <v>148</v>
      </c>
      <c r="D14" s="119" t="s">
        <v>156</v>
      </c>
      <c r="E14" s="104" t="s">
        <v>144</v>
      </c>
      <c r="F14" s="141" t="s">
        <v>114</v>
      </c>
      <c r="G14" s="141" t="s">
        <v>115</v>
      </c>
      <c r="H14" s="64" t="s">
        <v>116</v>
      </c>
      <c r="I14" s="64" t="s">
        <v>131</v>
      </c>
      <c r="J14" s="64" t="s">
        <v>132</v>
      </c>
      <c r="K14" s="64" t="s">
        <v>133</v>
      </c>
      <c r="L14" s="104" t="s">
        <v>140</v>
      </c>
      <c r="M14" s="104" t="s">
        <v>142</v>
      </c>
      <c r="N14" s="104" t="s">
        <v>143</v>
      </c>
      <c r="O14" s="104" t="s">
        <v>179</v>
      </c>
      <c r="P14" s="143" t="str">
        <f>E14</f>
        <v>u(k) - uR(k)  [V]</v>
      </c>
      <c r="Q14" s="143" t="str">
        <f>G14</f>
        <v>x2(k)  [Hz]</v>
      </c>
      <c r="R14" s="103" t="s">
        <v>175</v>
      </c>
      <c r="S14" s="103" t="s">
        <v>176</v>
      </c>
      <c r="T14" s="103"/>
      <c r="U14" s="103"/>
    </row>
    <row r="15" spans="1:26">
      <c r="A15" s="87">
        <v>-1</v>
      </c>
      <c r="B15" s="88">
        <v>0</v>
      </c>
      <c r="C15" s="88"/>
      <c r="D15" s="88"/>
      <c r="E15" s="88">
        <v>0</v>
      </c>
      <c r="F15" s="88">
        <v>0</v>
      </c>
      <c r="G15" s="88">
        <v>0</v>
      </c>
      <c r="H15" s="88"/>
      <c r="I15" s="88">
        <f>E15/Steuerung!$D$4</f>
        <v>0</v>
      </c>
      <c r="J15" s="89" t="s">
        <v>119</v>
      </c>
      <c r="K15" s="115"/>
      <c r="L15" s="116">
        <v>0</v>
      </c>
      <c r="O15" s="64" t="s">
        <v>180</v>
      </c>
      <c r="P15" s="103">
        <f t="shared" ref="P15:P78" si="0">E15</f>
        <v>0</v>
      </c>
      <c r="Q15" s="103">
        <f t="shared" ref="Q15" si="1">G15</f>
        <v>0</v>
      </c>
      <c r="R15" s="103">
        <v>0</v>
      </c>
      <c r="S15" s="103">
        <v>0</v>
      </c>
      <c r="T15" s="103"/>
      <c r="U15" s="103"/>
    </row>
    <row r="16" spans="1:26">
      <c r="A16" s="64">
        <v>0</v>
      </c>
      <c r="B16" s="64">
        <v>24</v>
      </c>
      <c r="C16" s="64">
        <v>0</v>
      </c>
      <c r="D16" s="103">
        <f>C16*$M$12</f>
        <v>0</v>
      </c>
      <c r="E16" s="117">
        <f>B16-L16</f>
        <v>24</v>
      </c>
      <c r="F16" s="103">
        <f>(F15 +$Q$8*E16 +$Q$5*G15)/$R$10</f>
        <v>6.896837256731212</v>
      </c>
      <c r="G16" s="103">
        <f>$Q$6*F16+G15+D16</f>
        <v>54.876171679910982</v>
      </c>
      <c r="H16" s="103">
        <f>G16/$M$6</f>
        <v>8.7326816804441414</v>
      </c>
      <c r="I16" s="64">
        <f>E16/Steuerung!$D$4</f>
        <v>1</v>
      </c>
      <c r="J16" s="103">
        <f>F16/Steuerung!$D$2</f>
        <v>2.2989457522437373</v>
      </c>
      <c r="K16" s="57">
        <f>60*H16/Steuerung!$D$1</f>
        <v>0.17465363360888284</v>
      </c>
      <c r="L16" s="103">
        <f>M16+N16</f>
        <v>0</v>
      </c>
      <c r="M16" s="57">
        <f>$M$8*F15</f>
        <v>0</v>
      </c>
      <c r="N16" s="57">
        <f>$M$9*G15</f>
        <v>0</v>
      </c>
      <c r="O16">
        <v>0</v>
      </c>
      <c r="P16" s="103">
        <f t="shared" si="0"/>
        <v>24</v>
      </c>
      <c r="Q16" s="103">
        <f>G16+O16</f>
        <v>54.876171679910982</v>
      </c>
      <c r="R16" s="103">
        <f>$Z$9*(R15+$Q$8*P16+$U$9*Q16)+$Z$9*$Z$8*$X$5*(S15+$U$10*Q16)</f>
        <v>6.896837256731212</v>
      </c>
      <c r="S16" s="103">
        <f>$Z$8*(S15+$X$6*R16+$U$10*Q16)</f>
        <v>54.876171679910982</v>
      </c>
      <c r="T16" s="103"/>
      <c r="U16" s="103"/>
    </row>
    <row r="17" spans="1:21">
      <c r="A17" s="64">
        <v>1</v>
      </c>
      <c r="B17" s="64">
        <v>24</v>
      </c>
      <c r="C17" s="64">
        <v>0</v>
      </c>
      <c r="D17" s="103">
        <f t="shared" ref="D17:D80" si="2">C17*$M$12</f>
        <v>0</v>
      </c>
      <c r="E17" s="117">
        <f t="shared" ref="E17:E80" si="3">B17-L17</f>
        <v>24</v>
      </c>
      <c r="F17" s="103">
        <f>(F16 +$Q$8*E17 +$Q$5*G16)/$R$10</f>
        <v>6.3421818861114279</v>
      </c>
      <c r="G17" s="103">
        <f t="shared" ref="G17:G80" si="4">$Q$6*F17+G16+D17</f>
        <v>105.33910839308275</v>
      </c>
      <c r="H17" s="103">
        <f t="shared" ref="H17:H80" si="5">G17/$M$6</f>
        <v>16.763066262425646</v>
      </c>
      <c r="I17" s="118">
        <f>E17/Steuerung!$D$4</f>
        <v>1</v>
      </c>
      <c r="J17" s="103">
        <f>F17/Steuerung!$D$2</f>
        <v>2.1140606287038093</v>
      </c>
      <c r="K17" s="57">
        <f>60*H17/Steuerung!$D$1</f>
        <v>0.33526132524851293</v>
      </c>
      <c r="L17" s="103">
        <f t="shared" ref="L17:L80" si="6">M17+N17</f>
        <v>0</v>
      </c>
      <c r="M17" s="57">
        <f t="shared" ref="M17:M80" si="7">$M$8*F16</f>
        <v>0</v>
      </c>
      <c r="N17" s="57">
        <f t="shared" ref="N17:N80" si="8">$M$9*G16</f>
        <v>0</v>
      </c>
      <c r="O17">
        <v>0</v>
      </c>
      <c r="P17" s="103">
        <f t="shared" si="0"/>
        <v>24</v>
      </c>
      <c r="Q17" s="103">
        <f t="shared" ref="Q17:Q80" si="9">G17+O17</f>
        <v>105.33910839308275</v>
      </c>
      <c r="R17" s="103">
        <f t="shared" ref="R17:R80" si="10">$Z$9*(R16+$Q$8*P17+$U$9*Q17)+$Z$9*$Z$8*$X$5*(S16+$U$10*Q17)</f>
        <v>6.3421818861114474</v>
      </c>
      <c r="S17" s="103">
        <f t="shared" ref="S17:S80" si="11">$Z$8*(S16+$X$6*R17+$U$10*Q17)</f>
        <v>105.3391083930828</v>
      </c>
      <c r="T17" s="103"/>
      <c r="U17" s="103"/>
    </row>
    <row r="18" spans="1:21">
      <c r="A18" s="64">
        <v>2</v>
      </c>
      <c r="B18" s="64">
        <v>24</v>
      </c>
      <c r="C18" s="64">
        <v>0</v>
      </c>
      <c r="D18" s="103">
        <f t="shared" si="2"/>
        <v>0</v>
      </c>
      <c r="E18" s="117">
        <f t="shared" si="3"/>
        <v>24</v>
      </c>
      <c r="F18" s="103">
        <f t="shared" ref="F18:F81" si="12">(F17 +$Q$8*E18 +$Q$5*G17)/$R$10</f>
        <v>5.6339396588722348</v>
      </c>
      <c r="G18" s="103">
        <f t="shared" si="4"/>
        <v>150.16676322179245</v>
      </c>
      <c r="H18" s="103">
        <f t="shared" si="5"/>
        <v>23.896684153690714</v>
      </c>
      <c r="I18" s="118">
        <f>E18/Steuerung!$D$4</f>
        <v>1</v>
      </c>
      <c r="J18" s="103">
        <f>F18/Steuerung!$D$2</f>
        <v>1.8779798862907449</v>
      </c>
      <c r="K18" s="57">
        <f>60*H18/Steuerung!$D$1</f>
        <v>0.47793368307381429</v>
      </c>
      <c r="L18" s="103">
        <f t="shared" si="6"/>
        <v>0</v>
      </c>
      <c r="M18" s="57">
        <f t="shared" si="7"/>
        <v>0</v>
      </c>
      <c r="N18" s="57">
        <f t="shared" si="8"/>
        <v>0</v>
      </c>
      <c r="O18">
        <v>0</v>
      </c>
      <c r="P18" s="103">
        <f t="shared" si="0"/>
        <v>24</v>
      </c>
      <c r="Q18" s="103">
        <f t="shared" si="9"/>
        <v>150.16676322179245</v>
      </c>
      <c r="R18" s="103">
        <f t="shared" si="10"/>
        <v>5.6339396588722508</v>
      </c>
      <c r="S18" s="103">
        <f t="shared" si="11"/>
        <v>150.16676322179251</v>
      </c>
      <c r="T18" s="103"/>
      <c r="U18" s="103"/>
    </row>
    <row r="19" spans="1:21">
      <c r="A19" s="64">
        <v>3</v>
      </c>
      <c r="B19" s="64">
        <v>24</v>
      </c>
      <c r="C19" s="64">
        <v>0</v>
      </c>
      <c r="D19" s="103">
        <f t="shared" si="2"/>
        <v>0</v>
      </c>
      <c r="E19" s="117">
        <f t="shared" si="3"/>
        <v>24</v>
      </c>
      <c r="F19" s="103">
        <f t="shared" si="12"/>
        <v>4.9985945075268283</v>
      </c>
      <c r="G19" s="103">
        <f t="shared" si="4"/>
        <v>189.93915745736555</v>
      </c>
      <c r="H19" s="103">
        <f t="shared" si="5"/>
        <v>30.225836641846843</v>
      </c>
      <c r="I19" s="118">
        <f>E19/Steuerung!$D$4</f>
        <v>1</v>
      </c>
      <c r="J19" s="103">
        <f>F19/Steuerung!$D$2</f>
        <v>1.6661981691756094</v>
      </c>
      <c r="K19" s="57">
        <f>60*H19/Steuerung!$D$1</f>
        <v>0.60451673283693685</v>
      </c>
      <c r="L19" s="103">
        <f t="shared" si="6"/>
        <v>0</v>
      </c>
      <c r="M19" s="57">
        <f t="shared" si="7"/>
        <v>0</v>
      </c>
      <c r="N19" s="57">
        <f t="shared" si="8"/>
        <v>0</v>
      </c>
      <c r="O19">
        <v>0</v>
      </c>
      <c r="P19" s="103">
        <f t="shared" si="0"/>
        <v>24</v>
      </c>
      <c r="Q19" s="103">
        <f t="shared" si="9"/>
        <v>189.93915745736555</v>
      </c>
      <c r="R19" s="103">
        <f t="shared" si="10"/>
        <v>4.9985945075268461</v>
      </c>
      <c r="S19" s="103">
        <f t="shared" si="11"/>
        <v>189.93915745736561</v>
      </c>
      <c r="T19" s="103"/>
      <c r="U19" s="103"/>
    </row>
    <row r="20" spans="1:21">
      <c r="A20" s="64">
        <v>4</v>
      </c>
      <c r="B20" s="64">
        <v>24</v>
      </c>
      <c r="C20" s="64">
        <v>0</v>
      </c>
      <c r="D20" s="103">
        <f t="shared" si="2"/>
        <v>0</v>
      </c>
      <c r="E20" s="117">
        <f t="shared" si="3"/>
        <v>24</v>
      </c>
      <c r="F20" s="103">
        <f t="shared" si="12"/>
        <v>4.4346975235175483</v>
      </c>
      <c r="G20" s="103">
        <f t="shared" si="4"/>
        <v>225.22478383799532</v>
      </c>
      <c r="H20" s="103">
        <f t="shared" si="5"/>
        <v>35.840990426160936</v>
      </c>
      <c r="I20" s="118">
        <f>E20/Steuerung!$D$4</f>
        <v>1</v>
      </c>
      <c r="J20" s="103">
        <f>F20/Steuerung!$D$2</f>
        <v>1.4782325078391827</v>
      </c>
      <c r="K20" s="57">
        <f>60*H20/Steuerung!$D$1</f>
        <v>0.71681980852321869</v>
      </c>
      <c r="L20" s="103">
        <f t="shared" si="6"/>
        <v>0</v>
      </c>
      <c r="M20" s="57">
        <f t="shared" si="7"/>
        <v>0</v>
      </c>
      <c r="N20" s="57">
        <f t="shared" si="8"/>
        <v>0</v>
      </c>
      <c r="O20">
        <v>0</v>
      </c>
      <c r="P20" s="103">
        <f t="shared" si="0"/>
        <v>24</v>
      </c>
      <c r="Q20" s="103">
        <f t="shared" si="9"/>
        <v>225.22478383799532</v>
      </c>
      <c r="R20" s="103">
        <f t="shared" si="10"/>
        <v>4.4346975235175705</v>
      </c>
      <c r="S20" s="103">
        <f t="shared" si="11"/>
        <v>225.2247838379954</v>
      </c>
      <c r="T20" s="103"/>
      <c r="U20" s="103"/>
    </row>
    <row r="21" spans="1:21">
      <c r="A21" s="64">
        <v>5</v>
      </c>
      <c r="B21" s="64">
        <v>24</v>
      </c>
      <c r="C21" s="64">
        <v>0</v>
      </c>
      <c r="D21" s="103">
        <f t="shared" si="2"/>
        <v>0</v>
      </c>
      <c r="E21" s="117">
        <f t="shared" si="3"/>
        <v>24</v>
      </c>
      <c r="F21" s="103">
        <f t="shared" si="12"/>
        <v>3.9344078935422497</v>
      </c>
      <c r="G21" s="103">
        <f t="shared" si="4"/>
        <v>256.52974798139326</v>
      </c>
      <c r="H21" s="103">
        <f t="shared" si="5"/>
        <v>40.822684274569262</v>
      </c>
      <c r="I21" s="118">
        <f>E21/Steuerung!$D$4</f>
        <v>1</v>
      </c>
      <c r="J21" s="103">
        <f>F21/Steuerung!$D$2</f>
        <v>1.3114692978474165</v>
      </c>
      <c r="K21" s="57">
        <f>60*H21/Steuerung!$D$1</f>
        <v>0.81645368549138519</v>
      </c>
      <c r="L21" s="103">
        <f t="shared" si="6"/>
        <v>0</v>
      </c>
      <c r="M21" s="57">
        <f t="shared" si="7"/>
        <v>0</v>
      </c>
      <c r="N21" s="57">
        <f t="shared" si="8"/>
        <v>0</v>
      </c>
      <c r="O21">
        <v>0</v>
      </c>
      <c r="P21" s="103">
        <f t="shared" si="0"/>
        <v>24</v>
      </c>
      <c r="Q21" s="103">
        <f t="shared" si="9"/>
        <v>256.52974798139326</v>
      </c>
      <c r="R21" s="103">
        <f t="shared" si="10"/>
        <v>3.9344078935422715</v>
      </c>
      <c r="S21" s="103">
        <f t="shared" si="11"/>
        <v>256.52974798139331</v>
      </c>
      <c r="T21" s="103"/>
      <c r="U21" s="103"/>
    </row>
    <row r="22" spans="1:21">
      <c r="A22" s="64">
        <v>6</v>
      </c>
      <c r="B22" s="64">
        <v>24</v>
      </c>
      <c r="C22" s="64">
        <v>0</v>
      </c>
      <c r="D22" s="103">
        <f t="shared" si="2"/>
        <v>0</v>
      </c>
      <c r="E22" s="117">
        <f t="shared" si="3"/>
        <v>24</v>
      </c>
      <c r="F22" s="103">
        <f t="shared" si="12"/>
        <v>3.4905570128540679</v>
      </c>
      <c r="G22" s="103">
        <f t="shared" si="4"/>
        <v>284.30311695699851</v>
      </c>
      <c r="H22" s="103">
        <f t="shared" si="5"/>
        <v>45.242380165022041</v>
      </c>
      <c r="I22" s="118">
        <f>E22/Steuerung!$D$4</f>
        <v>1</v>
      </c>
      <c r="J22" s="103">
        <f>F22/Steuerung!$D$2</f>
        <v>1.1635190042846892</v>
      </c>
      <c r="K22" s="57">
        <f>60*H22/Steuerung!$D$1</f>
        <v>0.90484760330044078</v>
      </c>
      <c r="L22" s="103">
        <f t="shared" si="6"/>
        <v>0</v>
      </c>
      <c r="M22" s="57">
        <f t="shared" si="7"/>
        <v>0</v>
      </c>
      <c r="N22" s="57">
        <f t="shared" si="8"/>
        <v>0</v>
      </c>
      <c r="O22">
        <v>0</v>
      </c>
      <c r="P22" s="103">
        <f t="shared" si="0"/>
        <v>24</v>
      </c>
      <c r="Q22" s="103">
        <f t="shared" si="9"/>
        <v>284.30311695699851</v>
      </c>
      <c r="R22" s="103">
        <f t="shared" si="10"/>
        <v>3.4905570128541115</v>
      </c>
      <c r="S22" s="103">
        <f t="shared" si="11"/>
        <v>284.30311695699862</v>
      </c>
      <c r="T22" s="103"/>
      <c r="U22" s="103"/>
    </row>
    <row r="23" spans="1:21">
      <c r="A23" s="64">
        <v>7</v>
      </c>
      <c r="B23" s="64">
        <v>24</v>
      </c>
      <c r="C23" s="64">
        <v>0</v>
      </c>
      <c r="D23" s="103">
        <f t="shared" si="2"/>
        <v>0</v>
      </c>
      <c r="E23" s="117">
        <f t="shared" si="3"/>
        <v>24</v>
      </c>
      <c r="F23" s="103">
        <f t="shared" si="12"/>
        <v>3.0967781081355139</v>
      </c>
      <c r="G23" s="103">
        <f t="shared" si="4"/>
        <v>308.9432992305147</v>
      </c>
      <c r="H23" s="103">
        <f t="shared" si="5"/>
        <v>49.163478553551037</v>
      </c>
      <c r="I23" s="118">
        <f>E23/Steuerung!$D$4</f>
        <v>1</v>
      </c>
      <c r="J23" s="103">
        <f>F23/Steuerung!$D$2</f>
        <v>1.0322593693785047</v>
      </c>
      <c r="K23" s="57">
        <f>60*H23/Steuerung!$D$1</f>
        <v>0.98326957107102075</v>
      </c>
      <c r="L23" s="103">
        <f t="shared" si="6"/>
        <v>0</v>
      </c>
      <c r="M23" s="57">
        <f t="shared" si="7"/>
        <v>0</v>
      </c>
      <c r="N23" s="57">
        <f t="shared" si="8"/>
        <v>0</v>
      </c>
      <c r="O23">
        <v>0</v>
      </c>
      <c r="P23" s="103">
        <f t="shared" si="0"/>
        <v>24</v>
      </c>
      <c r="Q23" s="103">
        <f t="shared" si="9"/>
        <v>308.9432992305147</v>
      </c>
      <c r="R23" s="103">
        <f t="shared" si="10"/>
        <v>3.0967781081355668</v>
      </c>
      <c r="S23" s="103">
        <f t="shared" si="11"/>
        <v>308.94329923051487</v>
      </c>
      <c r="T23" s="103"/>
      <c r="U23" s="103"/>
    </row>
    <row r="24" spans="1:21">
      <c r="A24" s="64">
        <v>8</v>
      </c>
      <c r="B24" s="64">
        <v>24</v>
      </c>
      <c r="C24" s="64">
        <v>0</v>
      </c>
      <c r="D24" s="103">
        <f t="shared" si="2"/>
        <v>0</v>
      </c>
      <c r="E24" s="117">
        <f t="shared" si="3"/>
        <v>24</v>
      </c>
      <c r="F24" s="103">
        <f t="shared" si="12"/>
        <v>2.7474224357149968</v>
      </c>
      <c r="G24" s="103">
        <f t="shared" si="4"/>
        <v>330.80375782149969</v>
      </c>
      <c r="H24" s="103">
        <f t="shared" si="5"/>
        <v>52.642227533656857</v>
      </c>
      <c r="I24" s="118">
        <f>E24/Steuerung!$D$4</f>
        <v>1</v>
      </c>
      <c r="J24" s="103">
        <f>F24/Steuerung!$D$2</f>
        <v>0.91580747857166556</v>
      </c>
      <c r="K24" s="57">
        <f>60*H24/Steuerung!$D$1</f>
        <v>1.0528445506731372</v>
      </c>
      <c r="L24" s="103">
        <f t="shared" si="6"/>
        <v>0</v>
      </c>
      <c r="M24" s="57">
        <f t="shared" si="7"/>
        <v>0</v>
      </c>
      <c r="N24" s="57">
        <f t="shared" si="8"/>
        <v>0</v>
      </c>
      <c r="O24">
        <v>0</v>
      </c>
      <c r="P24" s="103">
        <f t="shared" si="0"/>
        <v>24</v>
      </c>
      <c r="Q24" s="103">
        <f t="shared" si="9"/>
        <v>330.80375782149969</v>
      </c>
      <c r="R24" s="103">
        <f t="shared" si="10"/>
        <v>2.7474224357150945</v>
      </c>
      <c r="S24" s="103">
        <f t="shared" si="11"/>
        <v>330.80375782149997</v>
      </c>
      <c r="T24" s="103"/>
      <c r="U24" s="103"/>
    </row>
    <row r="25" spans="1:21">
      <c r="A25" s="64">
        <v>9</v>
      </c>
      <c r="B25" s="64">
        <v>24</v>
      </c>
      <c r="C25" s="64">
        <v>0</v>
      </c>
      <c r="D25" s="103">
        <f t="shared" si="2"/>
        <v>0</v>
      </c>
      <c r="E25" s="117">
        <f t="shared" si="3"/>
        <v>24</v>
      </c>
      <c r="F25" s="103">
        <f t="shared" si="12"/>
        <v>2.4374784943157106</v>
      </c>
      <c r="G25" s="103">
        <f t="shared" si="4"/>
        <v>350.19808065978509</v>
      </c>
      <c r="H25" s="103">
        <f t="shared" si="5"/>
        <v>55.728529703975987</v>
      </c>
      <c r="I25" s="118">
        <f>E25/Steuerung!$D$4</f>
        <v>1</v>
      </c>
      <c r="J25" s="103">
        <f>F25/Steuerung!$D$2</f>
        <v>0.81249283143857021</v>
      </c>
      <c r="K25" s="57">
        <f>60*H25/Steuerung!$D$1</f>
        <v>1.1145705940795199</v>
      </c>
      <c r="L25" s="103">
        <f t="shared" si="6"/>
        <v>0</v>
      </c>
      <c r="M25" s="57">
        <f t="shared" si="7"/>
        <v>0</v>
      </c>
      <c r="N25" s="57">
        <f t="shared" si="8"/>
        <v>0</v>
      </c>
      <c r="O25">
        <v>0</v>
      </c>
      <c r="P25" s="103">
        <f t="shared" si="0"/>
        <v>24</v>
      </c>
      <c r="Q25" s="103">
        <f t="shared" si="9"/>
        <v>350.19808065978509</v>
      </c>
      <c r="R25" s="103">
        <f t="shared" si="10"/>
        <v>2.4374784943157977</v>
      </c>
      <c r="S25" s="103">
        <f t="shared" si="11"/>
        <v>350.19808065978543</v>
      </c>
      <c r="T25" s="103"/>
      <c r="U25" s="103"/>
    </row>
    <row r="26" spans="1:21">
      <c r="A26" s="64">
        <v>10</v>
      </c>
      <c r="B26" s="64">
        <v>24</v>
      </c>
      <c r="C26" s="64">
        <v>0</v>
      </c>
      <c r="D26" s="103">
        <f t="shared" si="2"/>
        <v>0</v>
      </c>
      <c r="E26" s="117">
        <f t="shared" si="3"/>
        <v>24</v>
      </c>
      <c r="F26" s="103">
        <f t="shared" si="12"/>
        <v>2.1625001430494484</v>
      </c>
      <c r="G26" s="103">
        <f t="shared" si="4"/>
        <v>367.404478997225</v>
      </c>
      <c r="H26" s="103">
        <f t="shared" si="5"/>
        <v>58.466658019927593</v>
      </c>
      <c r="I26" s="118">
        <f>E26/Steuerung!$D$4</f>
        <v>1</v>
      </c>
      <c r="J26" s="103">
        <f>F26/Steuerung!$D$2</f>
        <v>0.72083338101648275</v>
      </c>
      <c r="K26" s="57">
        <f>60*H26/Steuerung!$D$1</f>
        <v>1.169333160398552</v>
      </c>
      <c r="L26" s="103">
        <f t="shared" si="6"/>
        <v>0</v>
      </c>
      <c r="M26" s="57">
        <f t="shared" si="7"/>
        <v>0</v>
      </c>
      <c r="N26" s="57">
        <f t="shared" si="8"/>
        <v>0</v>
      </c>
      <c r="O26">
        <v>0</v>
      </c>
      <c r="P26" s="103">
        <f t="shared" si="0"/>
        <v>24</v>
      </c>
      <c r="Q26" s="103">
        <f t="shared" si="9"/>
        <v>367.404478997225</v>
      </c>
      <c r="R26" s="103">
        <f t="shared" si="10"/>
        <v>2.1625001430495274</v>
      </c>
      <c r="S26" s="103">
        <f t="shared" si="11"/>
        <v>367.40447899722534</v>
      </c>
      <c r="T26" s="103"/>
      <c r="U26" s="103"/>
    </row>
    <row r="27" spans="1:21">
      <c r="A27" s="64">
        <v>11</v>
      </c>
      <c r="B27" s="64">
        <v>24</v>
      </c>
      <c r="C27" s="64">
        <v>0</v>
      </c>
      <c r="D27" s="103">
        <f t="shared" si="2"/>
        <v>0</v>
      </c>
      <c r="E27" s="117">
        <f t="shared" si="3"/>
        <v>24</v>
      </c>
      <c r="F27" s="103">
        <f t="shared" si="12"/>
        <v>1.9185428218523444</v>
      </c>
      <c r="G27" s="103">
        <f t="shared" si="4"/>
        <v>382.66977834359949</v>
      </c>
      <c r="H27" s="103">
        <f t="shared" si="5"/>
        <v>60.895890888542247</v>
      </c>
      <c r="I27" s="118">
        <f>E27/Steuerung!$D$4</f>
        <v>1</v>
      </c>
      <c r="J27" s="103">
        <f>F27/Steuerung!$D$2</f>
        <v>0.63951427395078142</v>
      </c>
      <c r="K27" s="57">
        <f>60*H27/Steuerung!$D$1</f>
        <v>1.217917817770845</v>
      </c>
      <c r="L27" s="103">
        <f t="shared" si="6"/>
        <v>0</v>
      </c>
      <c r="M27" s="57">
        <f t="shared" si="7"/>
        <v>0</v>
      </c>
      <c r="N27" s="57">
        <f t="shared" si="8"/>
        <v>0</v>
      </c>
      <c r="O27">
        <v>0</v>
      </c>
      <c r="P27" s="103">
        <f t="shared" si="0"/>
        <v>24</v>
      </c>
      <c r="Q27" s="103">
        <f t="shared" si="9"/>
        <v>382.66977834359949</v>
      </c>
      <c r="R27" s="103">
        <f t="shared" si="10"/>
        <v>1.9185428218524123</v>
      </c>
      <c r="S27" s="103">
        <f t="shared" si="11"/>
        <v>382.66977834359977</v>
      </c>
      <c r="T27" s="103"/>
      <c r="U27" s="103"/>
    </row>
    <row r="28" spans="1:21">
      <c r="A28" s="64">
        <v>12</v>
      </c>
      <c r="B28" s="64">
        <v>24</v>
      </c>
      <c r="C28" s="64">
        <v>0</v>
      </c>
      <c r="D28" s="103">
        <f t="shared" si="2"/>
        <v>0</v>
      </c>
      <c r="E28" s="117">
        <f t="shared" si="3"/>
        <v>24</v>
      </c>
      <c r="F28" s="103">
        <f t="shared" si="12"/>
        <v>1.7021069668419397</v>
      </c>
      <c r="G28" s="103">
        <f t="shared" si="4"/>
        <v>396.2129591746143</v>
      </c>
      <c r="H28" s="103">
        <f t="shared" si="5"/>
        <v>63.051075616584072</v>
      </c>
      <c r="I28" s="118">
        <f>E28/Steuerung!$D$4</f>
        <v>1</v>
      </c>
      <c r="J28" s="103">
        <f>F28/Steuerung!$D$2</f>
        <v>0.56736898894731325</v>
      </c>
      <c r="K28" s="57">
        <f>60*H28/Steuerung!$D$1</f>
        <v>1.2610215123316815</v>
      </c>
      <c r="L28" s="103">
        <f t="shared" si="6"/>
        <v>0</v>
      </c>
      <c r="M28" s="57">
        <f t="shared" si="7"/>
        <v>0</v>
      </c>
      <c r="N28" s="57">
        <f t="shared" si="8"/>
        <v>0</v>
      </c>
      <c r="O28">
        <v>0</v>
      </c>
      <c r="P28" s="103">
        <f t="shared" si="0"/>
        <v>24</v>
      </c>
      <c r="Q28" s="103">
        <f t="shared" si="9"/>
        <v>396.2129591746143</v>
      </c>
      <c r="R28" s="103">
        <f t="shared" si="10"/>
        <v>1.7021069668420239</v>
      </c>
      <c r="S28" s="103">
        <f t="shared" si="11"/>
        <v>396.21295917461458</v>
      </c>
      <c r="T28" s="103"/>
      <c r="U28" s="103"/>
    </row>
    <row r="29" spans="1:21">
      <c r="A29" s="64">
        <v>13</v>
      </c>
      <c r="B29" s="64">
        <v>24</v>
      </c>
      <c r="C29" s="64">
        <v>0</v>
      </c>
      <c r="D29" s="103">
        <f t="shared" si="2"/>
        <v>0</v>
      </c>
      <c r="E29" s="117">
        <f t="shared" si="3"/>
        <v>24</v>
      </c>
      <c r="F29" s="103">
        <f t="shared" si="12"/>
        <v>1.5100878091293588</v>
      </c>
      <c r="G29" s="103">
        <f t="shared" si="4"/>
        <v>408.22829820333294</v>
      </c>
      <c r="H29" s="103">
        <f t="shared" si="5"/>
        <v>64.963128294610584</v>
      </c>
      <c r="I29" s="118">
        <f>E29/Steuerung!$D$4</f>
        <v>1</v>
      </c>
      <c r="J29" s="103">
        <f>F29/Steuerung!$D$2</f>
        <v>0.50336260304311964</v>
      </c>
      <c r="K29" s="57">
        <f>60*H29/Steuerung!$D$1</f>
        <v>1.2992625658922117</v>
      </c>
      <c r="L29" s="103">
        <f t="shared" si="6"/>
        <v>0</v>
      </c>
      <c r="M29" s="57">
        <f t="shared" si="7"/>
        <v>0</v>
      </c>
      <c r="N29" s="57">
        <f t="shared" si="8"/>
        <v>0</v>
      </c>
      <c r="O29">
        <v>0</v>
      </c>
      <c r="P29" s="103">
        <f t="shared" si="0"/>
        <v>24</v>
      </c>
      <c r="Q29" s="103">
        <f t="shared" si="9"/>
        <v>408.22829820333294</v>
      </c>
      <c r="R29" s="103">
        <f t="shared" si="10"/>
        <v>1.5100878091294021</v>
      </c>
      <c r="S29" s="103">
        <f t="shared" si="11"/>
        <v>408.22829820333311</v>
      </c>
      <c r="T29" s="103"/>
      <c r="U29" s="103"/>
    </row>
    <row r="30" spans="1:21">
      <c r="A30" s="64">
        <v>14</v>
      </c>
      <c r="B30" s="64">
        <v>24</v>
      </c>
      <c r="C30" s="64">
        <v>0</v>
      </c>
      <c r="D30" s="103">
        <f t="shared" si="2"/>
        <v>0</v>
      </c>
      <c r="E30" s="117">
        <f t="shared" si="3"/>
        <v>24</v>
      </c>
      <c r="F30" s="103">
        <f t="shared" si="12"/>
        <v>1.3397308369591243</v>
      </c>
      <c r="G30" s="103">
        <f t="shared" si="4"/>
        <v>418.88815527652775</v>
      </c>
      <c r="H30" s="103">
        <f t="shared" si="5"/>
        <v>66.659477287798822</v>
      </c>
      <c r="I30" s="118">
        <f>E30/Steuerung!$D$4</f>
        <v>1</v>
      </c>
      <c r="J30" s="103">
        <f>F30/Steuerung!$D$2</f>
        <v>0.44657694565304146</v>
      </c>
      <c r="K30" s="57">
        <f>60*H30/Steuerung!$D$1</f>
        <v>1.3331895457559764</v>
      </c>
      <c r="L30" s="103">
        <f t="shared" si="6"/>
        <v>0</v>
      </c>
      <c r="M30" s="57">
        <f t="shared" si="7"/>
        <v>0</v>
      </c>
      <c r="N30" s="57">
        <f t="shared" si="8"/>
        <v>0</v>
      </c>
      <c r="O30">
        <v>0</v>
      </c>
      <c r="P30" s="103">
        <f t="shared" si="0"/>
        <v>24</v>
      </c>
      <c r="Q30" s="103">
        <f t="shared" si="9"/>
        <v>418.88815527652775</v>
      </c>
      <c r="R30" s="103">
        <f t="shared" si="10"/>
        <v>1.3397308369591769</v>
      </c>
      <c r="S30" s="103">
        <f t="shared" si="11"/>
        <v>418.88815527652798</v>
      </c>
      <c r="T30" s="103"/>
      <c r="U30" s="103"/>
    </row>
    <row r="31" spans="1:21">
      <c r="A31" s="64">
        <v>15</v>
      </c>
      <c r="B31" s="64">
        <v>24</v>
      </c>
      <c r="C31" s="64">
        <v>0</v>
      </c>
      <c r="D31" s="103">
        <f t="shared" si="2"/>
        <v>0</v>
      </c>
      <c r="E31" s="117">
        <f t="shared" si="3"/>
        <v>24</v>
      </c>
      <c r="F31" s="103">
        <f t="shared" si="12"/>
        <v>1.1885922822819386</v>
      </c>
      <c r="G31" s="103">
        <f t="shared" si="4"/>
        <v>428.34544587393339</v>
      </c>
      <c r="H31" s="103">
        <f t="shared" si="5"/>
        <v>68.164456695406329</v>
      </c>
      <c r="I31" s="118">
        <f>E31/Steuerung!$D$4</f>
        <v>1</v>
      </c>
      <c r="J31" s="103">
        <f>F31/Steuerung!$D$2</f>
        <v>0.39619742742731284</v>
      </c>
      <c r="K31" s="57">
        <f>60*H31/Steuerung!$D$1</f>
        <v>1.3632891339081266</v>
      </c>
      <c r="L31" s="103">
        <f t="shared" si="6"/>
        <v>0</v>
      </c>
      <c r="M31" s="57">
        <f t="shared" si="7"/>
        <v>0</v>
      </c>
      <c r="N31" s="57">
        <f t="shared" si="8"/>
        <v>0</v>
      </c>
      <c r="O31">
        <v>0</v>
      </c>
      <c r="P31" s="103">
        <f t="shared" si="0"/>
        <v>24</v>
      </c>
      <c r="Q31" s="103">
        <f t="shared" si="9"/>
        <v>428.34544587393339</v>
      </c>
      <c r="R31" s="103">
        <f t="shared" si="10"/>
        <v>1.1885922822820021</v>
      </c>
      <c r="S31" s="103">
        <f t="shared" si="11"/>
        <v>428.34544587393367</v>
      </c>
      <c r="T31" s="103"/>
      <c r="U31" s="103"/>
    </row>
    <row r="32" spans="1:21">
      <c r="A32" s="64">
        <v>16</v>
      </c>
      <c r="B32" s="64">
        <v>24</v>
      </c>
      <c r="C32" s="64">
        <v>0</v>
      </c>
      <c r="D32" s="103">
        <f t="shared" si="2"/>
        <v>0</v>
      </c>
      <c r="E32" s="117">
        <f t="shared" si="3"/>
        <v>24</v>
      </c>
      <c r="F32" s="103">
        <f t="shared" si="12"/>
        <v>1.0545040649409871</v>
      </c>
      <c r="G32" s="103">
        <f t="shared" si="4"/>
        <v>436.73583467836517</v>
      </c>
      <c r="H32" s="103">
        <f t="shared" si="5"/>
        <v>69.499655423037112</v>
      </c>
      <c r="I32" s="118">
        <f>E32/Steuerung!$D$4</f>
        <v>1</v>
      </c>
      <c r="J32" s="103">
        <f>F32/Steuerung!$D$2</f>
        <v>0.35150135498032903</v>
      </c>
      <c r="K32" s="57">
        <f>60*H32/Steuerung!$D$1</f>
        <v>1.3899931084607422</v>
      </c>
      <c r="L32" s="103">
        <f t="shared" si="6"/>
        <v>0</v>
      </c>
      <c r="M32" s="57">
        <f t="shared" si="7"/>
        <v>0</v>
      </c>
      <c r="N32" s="57">
        <f t="shared" si="8"/>
        <v>0</v>
      </c>
      <c r="O32">
        <v>0</v>
      </c>
      <c r="P32" s="103">
        <f t="shared" si="0"/>
        <v>24</v>
      </c>
      <c r="Q32" s="103">
        <f t="shared" si="9"/>
        <v>436.73583467836517</v>
      </c>
      <c r="R32" s="103">
        <f t="shared" si="10"/>
        <v>1.0545040649411135</v>
      </c>
      <c r="S32" s="103">
        <f t="shared" si="11"/>
        <v>436.73583467836568</v>
      </c>
      <c r="T32" s="103"/>
      <c r="U32" s="103"/>
    </row>
    <row r="33" spans="1:21">
      <c r="A33" s="64">
        <v>17</v>
      </c>
      <c r="B33" s="64">
        <v>24</v>
      </c>
      <c r="C33" s="64">
        <v>0</v>
      </c>
      <c r="D33" s="103">
        <f t="shared" si="2"/>
        <v>0</v>
      </c>
      <c r="E33" s="117">
        <f t="shared" si="3"/>
        <v>24</v>
      </c>
      <c r="F33" s="103">
        <f t="shared" si="12"/>
        <v>0.9355426915966627</v>
      </c>
      <c r="G33" s="103">
        <f t="shared" si="4"/>
        <v>444.17968168343089</v>
      </c>
      <c r="H33" s="103">
        <f t="shared" si="5"/>
        <v>70.684226875148141</v>
      </c>
      <c r="I33" s="118">
        <f>E33/Steuerung!$D$4</f>
        <v>1</v>
      </c>
      <c r="J33" s="103">
        <f>F33/Steuerung!$D$2</f>
        <v>0.31184756386555423</v>
      </c>
      <c r="K33" s="57">
        <f>60*H33/Steuerung!$D$1</f>
        <v>1.4136845375029627</v>
      </c>
      <c r="L33" s="103">
        <f t="shared" si="6"/>
        <v>0</v>
      </c>
      <c r="M33" s="57">
        <f t="shared" si="7"/>
        <v>0</v>
      </c>
      <c r="N33" s="57">
        <f t="shared" si="8"/>
        <v>0</v>
      </c>
      <c r="O33">
        <v>0</v>
      </c>
      <c r="P33" s="103">
        <f t="shared" si="0"/>
        <v>24</v>
      </c>
      <c r="Q33" s="103">
        <f t="shared" si="9"/>
        <v>444.17968168343089</v>
      </c>
      <c r="R33" s="103">
        <f t="shared" si="10"/>
        <v>0.93554269159676551</v>
      </c>
      <c r="S33" s="103">
        <f t="shared" si="11"/>
        <v>444.17968168343134</v>
      </c>
      <c r="T33" s="103"/>
      <c r="U33" s="103"/>
    </row>
    <row r="34" spans="1:21">
      <c r="A34" s="64">
        <v>18</v>
      </c>
      <c r="B34" s="64">
        <v>24</v>
      </c>
      <c r="C34" s="64">
        <v>0</v>
      </c>
      <c r="D34" s="103">
        <f t="shared" si="2"/>
        <v>0</v>
      </c>
      <c r="E34" s="117">
        <f t="shared" si="3"/>
        <v>24</v>
      </c>
      <c r="F34" s="103">
        <f t="shared" si="12"/>
        <v>0.83000166324527969</v>
      </c>
      <c r="G34" s="103">
        <f t="shared" si="4"/>
        <v>450.78376875571985</v>
      </c>
      <c r="H34" s="103">
        <f t="shared" si="5"/>
        <v>71.73516371033098</v>
      </c>
      <c r="I34" s="118">
        <f>E34/Steuerung!$D$4</f>
        <v>1</v>
      </c>
      <c r="J34" s="103">
        <f>F34/Steuerung!$D$2</f>
        <v>0.2766672210817599</v>
      </c>
      <c r="K34" s="57">
        <f>60*H34/Steuerung!$D$1</f>
        <v>1.4347032742066197</v>
      </c>
      <c r="L34" s="103">
        <f t="shared" si="6"/>
        <v>0</v>
      </c>
      <c r="M34" s="57">
        <f t="shared" si="7"/>
        <v>0</v>
      </c>
      <c r="N34" s="57">
        <f t="shared" si="8"/>
        <v>0</v>
      </c>
      <c r="O34">
        <v>0</v>
      </c>
      <c r="P34" s="103">
        <f t="shared" si="0"/>
        <v>24</v>
      </c>
      <c r="Q34" s="103">
        <f t="shared" si="9"/>
        <v>450.78376875571985</v>
      </c>
      <c r="R34" s="103">
        <f t="shared" si="10"/>
        <v>0.83000166324541169</v>
      </c>
      <c r="S34" s="103">
        <f t="shared" si="11"/>
        <v>450.7837687557203</v>
      </c>
      <c r="T34" s="103"/>
      <c r="U34" s="103"/>
    </row>
    <row r="35" spans="1:21">
      <c r="A35" s="64">
        <v>19</v>
      </c>
      <c r="B35" s="64">
        <v>24</v>
      </c>
      <c r="C35" s="64">
        <v>0</v>
      </c>
      <c r="D35" s="103">
        <f t="shared" si="2"/>
        <v>0</v>
      </c>
      <c r="E35" s="117">
        <f t="shared" si="3"/>
        <v>24</v>
      </c>
      <c r="F35" s="103">
        <f t="shared" si="12"/>
        <v>0.7363669955180796</v>
      </c>
      <c r="G35" s="103">
        <f t="shared" si="4"/>
        <v>456.64283141897636</v>
      </c>
      <c r="H35" s="103">
        <f t="shared" si="5"/>
        <v>72.667541600728256</v>
      </c>
      <c r="I35" s="118">
        <f>E35/Steuerung!$D$4</f>
        <v>1</v>
      </c>
      <c r="J35" s="103">
        <f>F35/Steuerung!$D$2</f>
        <v>0.24545566517269321</v>
      </c>
      <c r="K35" s="57">
        <f>60*H35/Steuerung!$D$1</f>
        <v>1.4533508320145649</v>
      </c>
      <c r="L35" s="103">
        <f t="shared" si="6"/>
        <v>0</v>
      </c>
      <c r="M35" s="57">
        <f t="shared" si="7"/>
        <v>0</v>
      </c>
      <c r="N35" s="57">
        <f t="shared" si="8"/>
        <v>0</v>
      </c>
      <c r="O35">
        <v>0</v>
      </c>
      <c r="P35" s="103">
        <f t="shared" si="0"/>
        <v>24</v>
      </c>
      <c r="Q35" s="103">
        <f t="shared" si="9"/>
        <v>456.64283141897636</v>
      </c>
      <c r="R35" s="103">
        <f t="shared" si="10"/>
        <v>0.73636699551821039</v>
      </c>
      <c r="S35" s="103">
        <f t="shared" si="11"/>
        <v>456.64283141897681</v>
      </c>
      <c r="T35" s="103"/>
      <c r="U35" s="103"/>
    </row>
    <row r="36" spans="1:21">
      <c r="A36" s="64">
        <v>20</v>
      </c>
      <c r="B36" s="64">
        <v>24</v>
      </c>
      <c r="C36" s="64">
        <v>0</v>
      </c>
      <c r="D36" s="103">
        <f t="shared" si="2"/>
        <v>0</v>
      </c>
      <c r="E36" s="117">
        <f t="shared" si="3"/>
        <v>24</v>
      </c>
      <c r="F36" s="103">
        <f t="shared" si="12"/>
        <v>0.6532955005995964</v>
      </c>
      <c r="G36" s="103">
        <f t="shared" si="4"/>
        <v>461.84091783367717</v>
      </c>
      <c r="H36" s="103">
        <f t="shared" si="5"/>
        <v>73.494735492310184</v>
      </c>
      <c r="I36" s="118">
        <f>E36/Steuerung!$D$4</f>
        <v>1</v>
      </c>
      <c r="J36" s="103">
        <f>F36/Steuerung!$D$2</f>
        <v>0.21776516686653213</v>
      </c>
      <c r="K36" s="57">
        <f>60*H36/Steuerung!$D$1</f>
        <v>1.4698947098462036</v>
      </c>
      <c r="L36" s="103">
        <f t="shared" si="6"/>
        <v>0</v>
      </c>
      <c r="M36" s="57">
        <f t="shared" si="7"/>
        <v>0</v>
      </c>
      <c r="N36" s="57">
        <f t="shared" si="8"/>
        <v>0</v>
      </c>
      <c r="O36">
        <v>0</v>
      </c>
      <c r="P36" s="103">
        <f t="shared" si="0"/>
        <v>24</v>
      </c>
      <c r="Q36" s="103">
        <f t="shared" si="9"/>
        <v>461.84091783367717</v>
      </c>
      <c r="R36" s="103">
        <f t="shared" si="10"/>
        <v>0.65329550059976782</v>
      </c>
      <c r="S36" s="103">
        <f t="shared" si="11"/>
        <v>461.84091783367774</v>
      </c>
      <c r="T36" s="103"/>
      <c r="U36" s="103"/>
    </row>
    <row r="37" spans="1:21">
      <c r="A37" s="64">
        <v>21</v>
      </c>
      <c r="B37" s="64">
        <v>24</v>
      </c>
      <c r="C37" s="64">
        <v>0</v>
      </c>
      <c r="D37" s="103">
        <f t="shared" si="2"/>
        <v>0</v>
      </c>
      <c r="E37" s="117">
        <f t="shared" si="3"/>
        <v>24</v>
      </c>
      <c r="F37" s="103">
        <f t="shared" si="12"/>
        <v>0.57959551921987096</v>
      </c>
      <c r="G37" s="103">
        <f t="shared" si="4"/>
        <v>466.45259446655331</v>
      </c>
      <c r="H37" s="103">
        <f t="shared" si="5"/>
        <v>74.228611468261192</v>
      </c>
      <c r="I37" s="118">
        <f>E37/Steuerung!$D$4</f>
        <v>1</v>
      </c>
      <c r="J37" s="103">
        <f>F37/Steuerung!$D$2</f>
        <v>0.19319850640662364</v>
      </c>
      <c r="K37" s="57">
        <f>60*H37/Steuerung!$D$1</f>
        <v>1.4845722293652239</v>
      </c>
      <c r="L37" s="103">
        <f t="shared" si="6"/>
        <v>0</v>
      </c>
      <c r="M37" s="57">
        <f t="shared" si="7"/>
        <v>0</v>
      </c>
      <c r="N37" s="57">
        <f t="shared" si="8"/>
        <v>0</v>
      </c>
      <c r="O37">
        <v>0</v>
      </c>
      <c r="P37" s="103">
        <f t="shared" si="0"/>
        <v>24</v>
      </c>
      <c r="Q37" s="103">
        <f t="shared" si="9"/>
        <v>466.45259446655331</v>
      </c>
      <c r="R37" s="103">
        <f t="shared" si="10"/>
        <v>0.57959551921999264</v>
      </c>
      <c r="S37" s="103">
        <f t="shared" si="11"/>
        <v>466.45259446655388</v>
      </c>
      <c r="T37" s="103"/>
      <c r="U37" s="103"/>
    </row>
    <row r="38" spans="1:21">
      <c r="A38" s="64">
        <v>22</v>
      </c>
      <c r="B38" s="64">
        <v>24</v>
      </c>
      <c r="C38" s="64">
        <v>0</v>
      </c>
      <c r="D38" s="103">
        <f t="shared" si="2"/>
        <v>0</v>
      </c>
      <c r="E38" s="117">
        <f t="shared" si="3"/>
        <v>24</v>
      </c>
      <c r="F38" s="103">
        <f t="shared" si="12"/>
        <v>0.51420982632121792</v>
      </c>
      <c r="G38" s="103">
        <f t="shared" si="4"/>
        <v>470.54401574536632</v>
      </c>
      <c r="H38" s="103">
        <f t="shared" si="5"/>
        <v>74.879696967754029</v>
      </c>
      <c r="I38" s="118">
        <f>E38/Steuerung!$D$4</f>
        <v>1</v>
      </c>
      <c r="J38" s="103">
        <f>F38/Steuerung!$D$2</f>
        <v>0.17140327544040598</v>
      </c>
      <c r="K38" s="57">
        <f>60*H38/Steuerung!$D$1</f>
        <v>1.4975939393550808</v>
      </c>
      <c r="L38" s="103">
        <f t="shared" si="6"/>
        <v>0</v>
      </c>
      <c r="M38" s="57">
        <f t="shared" si="7"/>
        <v>0</v>
      </c>
      <c r="N38" s="57">
        <f t="shared" si="8"/>
        <v>0</v>
      </c>
      <c r="O38">
        <v>0</v>
      </c>
      <c r="P38" s="103">
        <f t="shared" si="0"/>
        <v>24</v>
      </c>
      <c r="Q38" s="103">
        <f t="shared" si="9"/>
        <v>470.54401574536632</v>
      </c>
      <c r="R38" s="103">
        <f t="shared" si="10"/>
        <v>0.51420982632129153</v>
      </c>
      <c r="S38" s="103">
        <f t="shared" si="11"/>
        <v>470.54401574536666</v>
      </c>
      <c r="T38" s="103"/>
      <c r="U38" s="103"/>
    </row>
    <row r="39" spans="1:21">
      <c r="A39" s="64">
        <v>23</v>
      </c>
      <c r="B39" s="64">
        <v>24</v>
      </c>
      <c r="C39" s="64">
        <v>0</v>
      </c>
      <c r="D39" s="103">
        <f t="shared" si="2"/>
        <v>0</v>
      </c>
      <c r="E39" s="117">
        <f t="shared" si="3"/>
        <v>24</v>
      </c>
      <c r="F39" s="103">
        <f t="shared" si="12"/>
        <v>0.45620046518163587</v>
      </c>
      <c r="G39" s="103">
        <f t="shared" si="4"/>
        <v>474.17387304311961</v>
      </c>
      <c r="H39" s="103">
        <f t="shared" si="5"/>
        <v>75.457331801896828</v>
      </c>
      <c r="I39" s="118">
        <f>E39/Steuerung!$D$4</f>
        <v>1</v>
      </c>
      <c r="J39" s="103">
        <f>F39/Steuerung!$D$2</f>
        <v>0.15206682172721195</v>
      </c>
      <c r="K39" s="57">
        <f>60*H39/Steuerung!$D$1</f>
        <v>1.5091466360379366</v>
      </c>
      <c r="L39" s="103">
        <f t="shared" si="6"/>
        <v>0</v>
      </c>
      <c r="M39" s="57">
        <f t="shared" si="7"/>
        <v>0</v>
      </c>
      <c r="N39" s="57">
        <f t="shared" si="8"/>
        <v>0</v>
      </c>
      <c r="O39">
        <v>0</v>
      </c>
      <c r="P39" s="103">
        <f t="shared" si="0"/>
        <v>24</v>
      </c>
      <c r="Q39" s="103">
        <f t="shared" si="9"/>
        <v>474.17387304311961</v>
      </c>
      <c r="R39" s="103">
        <f t="shared" si="10"/>
        <v>0.45620046518178015</v>
      </c>
      <c r="S39" s="103">
        <f t="shared" si="11"/>
        <v>474.17387304312012</v>
      </c>
      <c r="T39" s="103"/>
      <c r="U39" s="103"/>
    </row>
    <row r="40" spans="1:21">
      <c r="A40" s="64">
        <v>24</v>
      </c>
      <c r="B40" s="64">
        <v>24</v>
      </c>
      <c r="C40" s="64">
        <v>0</v>
      </c>
      <c r="D40" s="103">
        <f t="shared" si="2"/>
        <v>0</v>
      </c>
      <c r="E40" s="117">
        <f t="shared" si="3"/>
        <v>24</v>
      </c>
      <c r="F40" s="103">
        <f t="shared" si="12"/>
        <v>0.40473529244058676</v>
      </c>
      <c r="G40" s="103">
        <f t="shared" si="4"/>
        <v>477.39423660486841</v>
      </c>
      <c r="H40" s="103">
        <f t="shared" si="5"/>
        <v>75.969802133174483</v>
      </c>
      <c r="I40" s="118">
        <f>E40/Steuerung!$D$4</f>
        <v>1</v>
      </c>
      <c r="J40" s="103">
        <f>F40/Steuerung!$D$2</f>
        <v>0.13491176414686226</v>
      </c>
      <c r="K40" s="57">
        <f>60*H40/Steuerung!$D$1</f>
        <v>1.5193960426634898</v>
      </c>
      <c r="L40" s="103">
        <f t="shared" si="6"/>
        <v>0</v>
      </c>
      <c r="M40" s="57">
        <f t="shared" si="7"/>
        <v>0</v>
      </c>
      <c r="N40" s="57">
        <f t="shared" si="8"/>
        <v>0</v>
      </c>
      <c r="O40">
        <v>0</v>
      </c>
      <c r="P40" s="103">
        <f t="shared" si="0"/>
        <v>24</v>
      </c>
      <c r="Q40" s="103">
        <f t="shared" si="9"/>
        <v>477.39423660486841</v>
      </c>
      <c r="R40" s="103">
        <f t="shared" si="10"/>
        <v>0.4047352924407619</v>
      </c>
      <c r="S40" s="103">
        <f t="shared" si="11"/>
        <v>477.39423660486898</v>
      </c>
      <c r="T40" s="103"/>
      <c r="U40" s="103"/>
    </row>
    <row r="41" spans="1:21">
      <c r="A41" s="64">
        <v>25</v>
      </c>
      <c r="B41" s="64">
        <v>24</v>
      </c>
      <c r="C41" s="64">
        <v>0</v>
      </c>
      <c r="D41" s="103">
        <f t="shared" si="2"/>
        <v>0</v>
      </c>
      <c r="E41" s="117">
        <f t="shared" si="3"/>
        <v>24</v>
      </c>
      <c r="F41" s="103">
        <f t="shared" si="12"/>
        <v>0.35907604101575302</v>
      </c>
      <c r="G41" s="103">
        <f t="shared" si="4"/>
        <v>480.25130249455452</v>
      </c>
      <c r="H41" s="103">
        <f t="shared" si="5"/>
        <v>76.424459340317398</v>
      </c>
      <c r="I41" s="118">
        <f>E41/Steuerung!$D$4</f>
        <v>1</v>
      </c>
      <c r="J41" s="103">
        <f>F41/Steuerung!$D$2</f>
        <v>0.11969201367191767</v>
      </c>
      <c r="K41" s="57">
        <f>60*H41/Steuerung!$D$1</f>
        <v>1.5284891868063482</v>
      </c>
      <c r="L41" s="103">
        <f t="shared" si="6"/>
        <v>0</v>
      </c>
      <c r="M41" s="57">
        <f t="shared" si="7"/>
        <v>0</v>
      </c>
      <c r="N41" s="57">
        <f t="shared" si="8"/>
        <v>0</v>
      </c>
      <c r="O41">
        <v>0</v>
      </c>
      <c r="P41" s="103">
        <f t="shared" si="0"/>
        <v>24</v>
      </c>
      <c r="Q41" s="103">
        <f t="shared" si="9"/>
        <v>480.25130249455452</v>
      </c>
      <c r="R41" s="103">
        <f t="shared" si="10"/>
        <v>0.35907604101589641</v>
      </c>
      <c r="S41" s="103">
        <f t="shared" si="11"/>
        <v>480.25130249455509</v>
      </c>
      <c r="T41" s="103"/>
      <c r="U41" s="103"/>
    </row>
    <row r="42" spans="1:21">
      <c r="A42" s="64">
        <v>26</v>
      </c>
      <c r="B42" s="64">
        <v>24</v>
      </c>
      <c r="C42" s="64">
        <v>0</v>
      </c>
      <c r="D42" s="103">
        <f t="shared" si="2"/>
        <v>0</v>
      </c>
      <c r="E42" s="117">
        <f t="shared" si="3"/>
        <v>24</v>
      </c>
      <c r="F42" s="103">
        <f t="shared" si="12"/>
        <v>0.31856772967352293</v>
      </c>
      <c r="G42" s="103">
        <f t="shared" si="4"/>
        <v>482.78605527680725</v>
      </c>
      <c r="H42" s="103">
        <f t="shared" si="5"/>
        <v>76.827825473712167</v>
      </c>
      <c r="I42" s="118">
        <f>E42/Steuerung!$D$4</f>
        <v>1</v>
      </c>
      <c r="J42" s="103">
        <f>F42/Steuerung!$D$2</f>
        <v>0.10618924322450764</v>
      </c>
      <c r="K42" s="57">
        <f>60*H42/Steuerung!$D$1</f>
        <v>1.5365565094742433</v>
      </c>
      <c r="L42" s="103">
        <f t="shared" si="6"/>
        <v>0</v>
      </c>
      <c r="M42" s="57">
        <f t="shared" si="7"/>
        <v>0</v>
      </c>
      <c r="N42" s="57">
        <f t="shared" si="8"/>
        <v>0</v>
      </c>
      <c r="O42">
        <v>0</v>
      </c>
      <c r="P42" s="103">
        <f t="shared" si="0"/>
        <v>24</v>
      </c>
      <c r="Q42" s="103">
        <f t="shared" si="9"/>
        <v>482.78605527680725</v>
      </c>
      <c r="R42" s="103">
        <f t="shared" si="10"/>
        <v>0.31856772967358893</v>
      </c>
      <c r="S42" s="103">
        <f t="shared" si="11"/>
        <v>482.78605527680759</v>
      </c>
      <c r="T42" s="103"/>
      <c r="U42" s="103"/>
    </row>
    <row r="43" spans="1:21">
      <c r="A43" s="64">
        <v>27</v>
      </c>
      <c r="B43" s="64">
        <v>24</v>
      </c>
      <c r="C43" s="64">
        <v>0</v>
      </c>
      <c r="D43" s="103">
        <f t="shared" si="2"/>
        <v>0</v>
      </c>
      <c r="E43" s="117">
        <f t="shared" si="3"/>
        <v>24</v>
      </c>
      <c r="F43" s="103">
        <f t="shared" si="12"/>
        <v>0.28262926733363014</v>
      </c>
      <c r="G43" s="103">
        <f t="shared" si="4"/>
        <v>485.0348559398692</v>
      </c>
      <c r="H43" s="103">
        <f t="shared" si="5"/>
        <v>77.185686814110312</v>
      </c>
      <c r="I43" s="118">
        <f>E43/Steuerung!$D$4</f>
        <v>1</v>
      </c>
      <c r="J43" s="103">
        <f>F43/Steuerung!$D$2</f>
        <v>9.4209755777876714E-2</v>
      </c>
      <c r="K43" s="57">
        <f>60*H43/Steuerung!$D$1</f>
        <v>1.5437137362822062</v>
      </c>
      <c r="L43" s="103">
        <f t="shared" si="6"/>
        <v>0</v>
      </c>
      <c r="M43" s="57">
        <f t="shared" si="7"/>
        <v>0</v>
      </c>
      <c r="N43" s="57">
        <f t="shared" si="8"/>
        <v>0</v>
      </c>
      <c r="O43">
        <v>0</v>
      </c>
      <c r="P43" s="103">
        <f t="shared" si="0"/>
        <v>24</v>
      </c>
      <c r="Q43" s="103">
        <f t="shared" si="9"/>
        <v>485.0348559398692</v>
      </c>
      <c r="R43" s="103">
        <f t="shared" si="10"/>
        <v>0.2826292673337889</v>
      </c>
      <c r="S43" s="103">
        <f t="shared" si="11"/>
        <v>485.03485593986971</v>
      </c>
      <c r="T43" s="103"/>
      <c r="U43" s="103"/>
    </row>
    <row r="44" spans="1:21">
      <c r="A44" s="64">
        <v>28</v>
      </c>
      <c r="B44" s="64">
        <v>24</v>
      </c>
      <c r="C44" s="64">
        <v>0</v>
      </c>
      <c r="D44" s="103">
        <f t="shared" si="2"/>
        <v>0</v>
      </c>
      <c r="E44" s="117">
        <f t="shared" si="3"/>
        <v>24</v>
      </c>
      <c r="F44" s="103">
        <f t="shared" si="12"/>
        <v>0.25074511732687788</v>
      </c>
      <c r="G44" s="103">
        <f t="shared" si="4"/>
        <v>487.02996349339304</v>
      </c>
      <c r="H44" s="103">
        <f t="shared" si="5"/>
        <v>77.503176876733463</v>
      </c>
      <c r="I44" s="118">
        <f>E44/Steuerung!$D$4</f>
        <v>1</v>
      </c>
      <c r="J44" s="103">
        <f>F44/Steuerung!$D$2</f>
        <v>8.3581705775625958E-2</v>
      </c>
      <c r="K44" s="57">
        <f>60*H44/Steuerung!$D$1</f>
        <v>1.5500635375346692</v>
      </c>
      <c r="L44" s="103">
        <f t="shared" si="6"/>
        <v>0</v>
      </c>
      <c r="M44" s="57">
        <f t="shared" si="7"/>
        <v>0</v>
      </c>
      <c r="N44" s="57">
        <f t="shared" si="8"/>
        <v>0</v>
      </c>
      <c r="O44">
        <v>0</v>
      </c>
      <c r="P44" s="103">
        <f t="shared" si="0"/>
        <v>24</v>
      </c>
      <c r="Q44" s="103">
        <f t="shared" si="9"/>
        <v>487.02996349339304</v>
      </c>
      <c r="R44" s="103">
        <f t="shared" si="10"/>
        <v>0.25074511732702831</v>
      </c>
      <c r="S44" s="103">
        <f t="shared" si="11"/>
        <v>487.02996349339355</v>
      </c>
      <c r="T44" s="103"/>
      <c r="U44" s="103"/>
    </row>
    <row r="45" spans="1:21">
      <c r="A45" s="64">
        <v>29</v>
      </c>
      <c r="B45" s="64">
        <v>24</v>
      </c>
      <c r="C45" s="64">
        <v>0</v>
      </c>
      <c r="D45" s="103">
        <f t="shared" si="2"/>
        <v>0</v>
      </c>
      <c r="E45" s="117">
        <f t="shared" si="3"/>
        <v>24</v>
      </c>
      <c r="F45" s="103">
        <f t="shared" si="12"/>
        <v>0.22245790202983892</v>
      </c>
      <c r="G45" s="103">
        <f t="shared" si="4"/>
        <v>488.7999977234204</v>
      </c>
      <c r="H45" s="103">
        <f t="shared" si="5"/>
        <v>77.784850051467288</v>
      </c>
      <c r="I45" s="118">
        <f>E45/Steuerung!$D$4</f>
        <v>1</v>
      </c>
      <c r="J45" s="103">
        <f>F45/Steuerung!$D$2</f>
        <v>7.4152634009946303E-2</v>
      </c>
      <c r="K45" s="57">
        <f>60*H45/Steuerung!$D$1</f>
        <v>1.5556970010293456</v>
      </c>
      <c r="L45" s="103">
        <f t="shared" si="6"/>
        <v>0</v>
      </c>
      <c r="M45" s="57">
        <f t="shared" si="7"/>
        <v>0</v>
      </c>
      <c r="N45" s="57">
        <f t="shared" si="8"/>
        <v>0</v>
      </c>
      <c r="O45">
        <v>0</v>
      </c>
      <c r="P45" s="103">
        <f t="shared" si="0"/>
        <v>24</v>
      </c>
      <c r="Q45" s="103">
        <f t="shared" si="9"/>
        <v>488.7999977234204</v>
      </c>
      <c r="R45" s="103">
        <f t="shared" si="10"/>
        <v>0.22245790202993021</v>
      </c>
      <c r="S45" s="103">
        <f t="shared" si="11"/>
        <v>488.7999977234208</v>
      </c>
      <c r="T45" s="103"/>
      <c r="U45" s="103"/>
    </row>
    <row r="46" spans="1:21">
      <c r="A46" s="64">
        <v>30</v>
      </c>
      <c r="B46" s="64">
        <v>24</v>
      </c>
      <c r="C46" s="64">
        <v>0</v>
      </c>
      <c r="D46" s="103">
        <f t="shared" si="2"/>
        <v>0</v>
      </c>
      <c r="E46" s="117">
        <f t="shared" si="3"/>
        <v>24</v>
      </c>
      <c r="F46" s="103">
        <f t="shared" si="12"/>
        <v>0.19736184179013921</v>
      </c>
      <c r="G46" s="103">
        <f t="shared" si="4"/>
        <v>490.37034974275633</v>
      </c>
      <c r="H46" s="103">
        <f t="shared" si="5"/>
        <v>78.034746935511833</v>
      </c>
      <c r="I46" s="118">
        <f>E46/Steuerung!$D$4</f>
        <v>1</v>
      </c>
      <c r="J46" s="103">
        <f>F46/Steuerung!$D$2</f>
        <v>6.5787280596713071E-2</v>
      </c>
      <c r="K46" s="57">
        <f>60*H46/Steuerung!$D$1</f>
        <v>1.5606949387102367</v>
      </c>
      <c r="L46" s="103">
        <f t="shared" si="6"/>
        <v>0</v>
      </c>
      <c r="M46" s="57">
        <f t="shared" si="7"/>
        <v>0</v>
      </c>
      <c r="N46" s="57">
        <f t="shared" si="8"/>
        <v>0</v>
      </c>
      <c r="O46">
        <v>0</v>
      </c>
      <c r="P46" s="103">
        <f t="shared" si="0"/>
        <v>24</v>
      </c>
      <c r="Q46" s="103">
        <f t="shared" si="9"/>
        <v>490.37034974275633</v>
      </c>
      <c r="R46" s="103">
        <f t="shared" si="10"/>
        <v>0.19736184179021166</v>
      </c>
      <c r="S46" s="103">
        <f t="shared" si="11"/>
        <v>490.37034974275662</v>
      </c>
      <c r="T46" s="103"/>
      <c r="U46" s="103"/>
    </row>
    <row r="47" spans="1:21">
      <c r="A47" s="64">
        <v>31</v>
      </c>
      <c r="B47" s="64">
        <v>24</v>
      </c>
      <c r="C47" s="64">
        <v>0</v>
      </c>
      <c r="D47" s="103">
        <f t="shared" si="2"/>
        <v>0</v>
      </c>
      <c r="E47" s="117">
        <f t="shared" si="3"/>
        <v>24</v>
      </c>
      <c r="F47" s="103">
        <f t="shared" si="12"/>
        <v>0.17509693402381901</v>
      </c>
      <c r="G47" s="103">
        <f t="shared" si="4"/>
        <v>491.76354622607761</v>
      </c>
      <c r="H47" s="103">
        <f t="shared" si="5"/>
        <v>78.2564522956839</v>
      </c>
      <c r="I47" s="118">
        <f>E47/Steuerung!$D$4</f>
        <v>1</v>
      </c>
      <c r="J47" s="103">
        <f>F47/Steuerung!$D$2</f>
        <v>5.8365644674606337E-2</v>
      </c>
      <c r="K47" s="57">
        <f>60*H47/Steuerung!$D$1</f>
        <v>1.565129045913678</v>
      </c>
      <c r="L47" s="103">
        <f t="shared" si="6"/>
        <v>0</v>
      </c>
      <c r="M47" s="57">
        <f t="shared" si="7"/>
        <v>0</v>
      </c>
      <c r="N47" s="57">
        <f t="shared" si="8"/>
        <v>0</v>
      </c>
      <c r="O47">
        <v>0</v>
      </c>
      <c r="P47" s="103">
        <f t="shared" si="0"/>
        <v>24</v>
      </c>
      <c r="Q47" s="103">
        <f t="shared" si="9"/>
        <v>491.76354622607761</v>
      </c>
      <c r="R47" s="103">
        <f t="shared" si="10"/>
        <v>0.17509693402388393</v>
      </c>
      <c r="S47" s="103">
        <f t="shared" si="11"/>
        <v>491.76354622607789</v>
      </c>
      <c r="T47" s="103"/>
      <c r="U47" s="103"/>
    </row>
    <row r="48" spans="1:21">
      <c r="A48" s="64">
        <v>32</v>
      </c>
      <c r="B48" s="64">
        <v>24</v>
      </c>
      <c r="C48" s="64">
        <v>0</v>
      </c>
      <c r="D48" s="103">
        <f t="shared" si="2"/>
        <v>0</v>
      </c>
      <c r="E48" s="117">
        <f t="shared" si="3"/>
        <v>24</v>
      </c>
      <c r="F48" s="103">
        <f t="shared" si="12"/>
        <v>0.15534378898400419</v>
      </c>
      <c r="G48" s="103">
        <f t="shared" si="4"/>
        <v>492.99957255472179</v>
      </c>
      <c r="H48" s="103">
        <f t="shared" si="5"/>
        <v>78.453146491839874</v>
      </c>
      <c r="I48" s="118">
        <f>E48/Steuerung!$D$4</f>
        <v>1</v>
      </c>
      <c r="J48" s="103">
        <f>F48/Steuerung!$D$2</f>
        <v>5.1781262994668065E-2</v>
      </c>
      <c r="K48" s="57">
        <f>60*H48/Steuerung!$D$1</f>
        <v>1.5690629298367975</v>
      </c>
      <c r="L48" s="103">
        <f t="shared" si="6"/>
        <v>0</v>
      </c>
      <c r="M48" s="57">
        <f t="shared" si="7"/>
        <v>0</v>
      </c>
      <c r="N48" s="57">
        <f t="shared" si="8"/>
        <v>0</v>
      </c>
      <c r="O48">
        <v>0</v>
      </c>
      <c r="P48" s="103">
        <f t="shared" si="0"/>
        <v>24</v>
      </c>
      <c r="Q48" s="103">
        <f t="shared" si="9"/>
        <v>492.99957255472179</v>
      </c>
      <c r="R48" s="103">
        <f t="shared" si="10"/>
        <v>0.15534378898411205</v>
      </c>
      <c r="S48" s="103">
        <f t="shared" si="11"/>
        <v>492.99957255472225</v>
      </c>
      <c r="T48" s="103"/>
      <c r="U48" s="103"/>
    </row>
    <row r="49" spans="1:21">
      <c r="A49" s="64">
        <v>33</v>
      </c>
      <c r="B49" s="64">
        <v>24</v>
      </c>
      <c r="C49" s="64">
        <v>0</v>
      </c>
      <c r="D49" s="103">
        <f t="shared" si="2"/>
        <v>0</v>
      </c>
      <c r="E49" s="117">
        <f t="shared" si="3"/>
        <v>24</v>
      </c>
      <c r="F49" s="103">
        <f t="shared" si="12"/>
        <v>0.1378190481200777</v>
      </c>
      <c r="G49" s="103">
        <f t="shared" si="4"/>
        <v>494.09615950666387</v>
      </c>
      <c r="H49" s="103">
        <f t="shared" si="5"/>
        <v>78.627651099087188</v>
      </c>
      <c r="I49" s="118">
        <f>E49/Steuerung!$D$4</f>
        <v>1</v>
      </c>
      <c r="J49" s="103">
        <f>F49/Steuerung!$D$2</f>
        <v>4.5939682706692568E-2</v>
      </c>
      <c r="K49" s="57">
        <f>60*H49/Steuerung!$D$1</f>
        <v>1.5725530219817438</v>
      </c>
      <c r="L49" s="103">
        <f t="shared" si="6"/>
        <v>0</v>
      </c>
      <c r="M49" s="57">
        <f t="shared" si="7"/>
        <v>0</v>
      </c>
      <c r="N49" s="57">
        <f t="shared" si="8"/>
        <v>0</v>
      </c>
      <c r="O49">
        <v>0</v>
      </c>
      <c r="P49" s="103">
        <f t="shared" si="0"/>
        <v>24</v>
      </c>
      <c r="Q49" s="103">
        <f t="shared" si="9"/>
        <v>494.09615950666387</v>
      </c>
      <c r="R49" s="103">
        <f t="shared" si="10"/>
        <v>0.13781904812020684</v>
      </c>
      <c r="S49" s="103">
        <f t="shared" si="11"/>
        <v>494.09615950666432</v>
      </c>
      <c r="T49" s="103"/>
      <c r="U49" s="103"/>
    </row>
    <row r="50" spans="1:21">
      <c r="A50" s="64">
        <v>34</v>
      </c>
      <c r="B50" s="64">
        <v>24</v>
      </c>
      <c r="C50" s="64">
        <v>0</v>
      </c>
      <c r="D50" s="103">
        <f t="shared" si="2"/>
        <v>0</v>
      </c>
      <c r="E50" s="117">
        <f t="shared" si="3"/>
        <v>24</v>
      </c>
      <c r="F50" s="103">
        <f t="shared" si="12"/>
        <v>0.12227131930379302</v>
      </c>
      <c r="G50" s="103">
        <f t="shared" si="4"/>
        <v>495.06903760424336</v>
      </c>
      <c r="H50" s="103">
        <f t="shared" si="5"/>
        <v>78.782469383234144</v>
      </c>
      <c r="I50" s="118">
        <f>E50/Steuerung!$D$4</f>
        <v>1</v>
      </c>
      <c r="J50" s="103">
        <f>F50/Steuerung!$D$2</f>
        <v>4.0757106434597672E-2</v>
      </c>
      <c r="K50" s="57">
        <f>60*H50/Steuerung!$D$1</f>
        <v>1.5756493876646827</v>
      </c>
      <c r="L50" s="103">
        <f t="shared" si="6"/>
        <v>0</v>
      </c>
      <c r="M50" s="57">
        <f t="shared" si="7"/>
        <v>0</v>
      </c>
      <c r="N50" s="57">
        <f t="shared" si="8"/>
        <v>0</v>
      </c>
      <c r="O50">
        <v>0</v>
      </c>
      <c r="P50" s="103">
        <f t="shared" si="0"/>
        <v>24</v>
      </c>
      <c r="Q50" s="103">
        <f t="shared" si="9"/>
        <v>495.06903760424336</v>
      </c>
      <c r="R50" s="103">
        <f t="shared" si="10"/>
        <v>0.12227131930393398</v>
      </c>
      <c r="S50" s="103">
        <f t="shared" si="11"/>
        <v>495.06903760424393</v>
      </c>
      <c r="T50" s="103"/>
      <c r="U50" s="103"/>
    </row>
    <row r="51" spans="1:21">
      <c r="A51" s="64">
        <v>35</v>
      </c>
      <c r="B51" s="64">
        <v>24</v>
      </c>
      <c r="C51" s="64">
        <v>0</v>
      </c>
      <c r="D51" s="103">
        <f t="shared" si="2"/>
        <v>0</v>
      </c>
      <c r="E51" s="117">
        <f t="shared" si="3"/>
        <v>24</v>
      </c>
      <c r="F51" s="103">
        <f t="shared" si="12"/>
        <v>0.10847757061320309</v>
      </c>
      <c r="G51" s="103">
        <f t="shared" si="4"/>
        <v>495.93216276825677</v>
      </c>
      <c r="H51" s="103">
        <f t="shared" si="5"/>
        <v>78.919822210098147</v>
      </c>
      <c r="I51" s="118">
        <f>E51/Steuerung!$D$4</f>
        <v>1</v>
      </c>
      <c r="J51" s="103">
        <f>F51/Steuerung!$D$2</f>
        <v>3.6159190204401032E-2</v>
      </c>
      <c r="K51" s="57">
        <f>60*H51/Steuerung!$D$1</f>
        <v>1.5783964442019629</v>
      </c>
      <c r="L51" s="103">
        <f t="shared" si="6"/>
        <v>0</v>
      </c>
      <c r="M51" s="57">
        <f t="shared" si="7"/>
        <v>0</v>
      </c>
      <c r="N51" s="57">
        <f t="shared" si="8"/>
        <v>0</v>
      </c>
      <c r="O51">
        <v>0</v>
      </c>
      <c r="P51" s="103">
        <f t="shared" si="0"/>
        <v>24</v>
      </c>
      <c r="Q51" s="103">
        <f t="shared" si="9"/>
        <v>495.93216276825677</v>
      </c>
      <c r="R51" s="103">
        <f t="shared" si="10"/>
        <v>0.10847757061333141</v>
      </c>
      <c r="S51" s="103">
        <f t="shared" si="11"/>
        <v>495.93216276825729</v>
      </c>
      <c r="T51" s="103"/>
      <c r="U51" s="103"/>
    </row>
    <row r="52" spans="1:21">
      <c r="A52" s="64">
        <v>36</v>
      </c>
      <c r="B52" s="64">
        <v>24</v>
      </c>
      <c r="C52" s="64">
        <v>0</v>
      </c>
      <c r="D52" s="103">
        <f t="shared" si="2"/>
        <v>0</v>
      </c>
      <c r="E52" s="117">
        <f t="shared" si="3"/>
        <v>24</v>
      </c>
      <c r="F52" s="103">
        <f t="shared" si="12"/>
        <v>9.6239930943293278E-2</v>
      </c>
      <c r="G52" s="103">
        <f t="shared" si="4"/>
        <v>496.69791651541857</v>
      </c>
      <c r="H52" s="103">
        <f t="shared" si="5"/>
        <v>79.041679903790353</v>
      </c>
      <c r="I52" s="118">
        <f>E52/Steuerung!$D$4</f>
        <v>1</v>
      </c>
      <c r="J52" s="103">
        <f>F52/Steuerung!$D$2</f>
        <v>3.2079976981097762E-2</v>
      </c>
      <c r="K52" s="57">
        <f>60*H52/Steuerung!$D$1</f>
        <v>1.5808335980758073</v>
      </c>
      <c r="L52" s="103">
        <f t="shared" si="6"/>
        <v>0</v>
      </c>
      <c r="M52" s="57">
        <f t="shared" si="7"/>
        <v>0</v>
      </c>
      <c r="N52" s="57">
        <f t="shared" si="8"/>
        <v>0</v>
      </c>
      <c r="O52">
        <v>0</v>
      </c>
      <c r="P52" s="103">
        <f t="shared" si="0"/>
        <v>24</v>
      </c>
      <c r="Q52" s="103">
        <f t="shared" si="9"/>
        <v>496.69791651541857</v>
      </c>
      <c r="R52" s="103">
        <f t="shared" si="10"/>
        <v>9.623993094345451E-2</v>
      </c>
      <c r="S52" s="103">
        <f t="shared" si="11"/>
        <v>496.69791651541914</v>
      </c>
      <c r="T52" s="103"/>
      <c r="U52" s="103"/>
    </row>
    <row r="53" spans="1:21">
      <c r="A53" s="64">
        <v>37</v>
      </c>
      <c r="B53" s="64">
        <v>24</v>
      </c>
      <c r="C53" s="64">
        <v>0</v>
      </c>
      <c r="D53" s="103">
        <f t="shared" si="2"/>
        <v>0</v>
      </c>
      <c r="E53" s="117">
        <f t="shared" si="3"/>
        <v>24</v>
      </c>
      <c r="F53" s="103">
        <f t="shared" si="12"/>
        <v>8.5382851548139099E-2</v>
      </c>
      <c r="G53" s="103">
        <f t="shared" si="4"/>
        <v>497.37728357102122</v>
      </c>
      <c r="H53" s="103">
        <f t="shared" si="5"/>
        <v>79.149790510983649</v>
      </c>
      <c r="I53" s="118">
        <f>E53/Steuerung!$D$4</f>
        <v>1</v>
      </c>
      <c r="J53" s="103">
        <f>F53/Steuerung!$D$2</f>
        <v>2.8460950516046368E-2</v>
      </c>
      <c r="K53" s="57">
        <f>60*H53/Steuerung!$D$1</f>
        <v>1.5829958102196731</v>
      </c>
      <c r="L53" s="103">
        <f t="shared" si="6"/>
        <v>0</v>
      </c>
      <c r="M53" s="57">
        <f t="shared" si="7"/>
        <v>0</v>
      </c>
      <c r="N53" s="57">
        <f t="shared" si="8"/>
        <v>0</v>
      </c>
      <c r="O53">
        <v>0</v>
      </c>
      <c r="P53" s="103">
        <f t="shared" si="0"/>
        <v>24</v>
      </c>
      <c r="Q53" s="103">
        <f t="shared" si="9"/>
        <v>497.37728357102122</v>
      </c>
      <c r="R53" s="103">
        <f t="shared" si="10"/>
        <v>8.538285154827463E-2</v>
      </c>
      <c r="S53" s="103">
        <f t="shared" si="11"/>
        <v>497.37728357102179</v>
      </c>
      <c r="T53" s="103"/>
      <c r="U53" s="103"/>
    </row>
    <row r="54" spans="1:21">
      <c r="A54" s="64">
        <v>38</v>
      </c>
      <c r="B54" s="64">
        <v>24</v>
      </c>
      <c r="C54" s="64">
        <v>0</v>
      </c>
      <c r="D54" s="103">
        <f t="shared" si="2"/>
        <v>0</v>
      </c>
      <c r="E54" s="117">
        <f t="shared" si="3"/>
        <v>24</v>
      </c>
      <c r="F54" s="103">
        <f t="shared" si="12"/>
        <v>7.5750587796941798E-2</v>
      </c>
      <c r="G54" s="103">
        <f t="shared" si="4"/>
        <v>497.98000944464422</v>
      </c>
      <c r="H54" s="103">
        <f t="shared" si="5"/>
        <v>79.245704876614298</v>
      </c>
      <c r="I54" s="118">
        <f>E54/Steuerung!$D$4</f>
        <v>1</v>
      </c>
      <c r="J54" s="103">
        <f>F54/Steuerung!$D$2</f>
        <v>2.5250195932313934E-2</v>
      </c>
      <c r="K54" s="57">
        <f>60*H54/Steuerung!$D$1</f>
        <v>1.584914097532286</v>
      </c>
      <c r="L54" s="103">
        <f t="shared" si="6"/>
        <v>0</v>
      </c>
      <c r="M54" s="57">
        <f t="shared" si="7"/>
        <v>0</v>
      </c>
      <c r="N54" s="57">
        <f t="shared" si="8"/>
        <v>0</v>
      </c>
      <c r="O54">
        <v>0</v>
      </c>
      <c r="P54" s="103">
        <f t="shared" si="0"/>
        <v>24</v>
      </c>
      <c r="Q54" s="103">
        <f t="shared" si="9"/>
        <v>497.98000944464422</v>
      </c>
      <c r="R54" s="103">
        <f t="shared" si="10"/>
        <v>7.5750587797017488E-2</v>
      </c>
      <c r="S54" s="103">
        <f t="shared" si="11"/>
        <v>497.98000944464462</v>
      </c>
      <c r="T54" s="103"/>
      <c r="U54" s="103"/>
    </row>
    <row r="55" spans="1:21">
      <c r="A55" s="64">
        <v>39</v>
      </c>
      <c r="B55" s="64">
        <v>24</v>
      </c>
      <c r="C55" s="64">
        <v>0</v>
      </c>
      <c r="D55" s="103">
        <f t="shared" si="2"/>
        <v>0</v>
      </c>
      <c r="E55" s="117">
        <f t="shared" si="3"/>
        <v>24</v>
      </c>
      <c r="F55" s="103">
        <f t="shared" si="12"/>
        <v>6.720496501978547E-2</v>
      </c>
      <c r="G55" s="103">
        <f t="shared" si="4"/>
        <v>498.51474022933382</v>
      </c>
      <c r="H55" s="103">
        <f t="shared" si="5"/>
        <v>79.330798890727849</v>
      </c>
      <c r="I55" s="118">
        <f>E55/Steuerung!$D$4</f>
        <v>1</v>
      </c>
      <c r="J55" s="103">
        <f>F55/Steuerung!$D$2</f>
        <v>2.2401655006595158E-2</v>
      </c>
      <c r="K55" s="57">
        <f>60*H55/Steuerung!$D$1</f>
        <v>1.5866159778145568</v>
      </c>
      <c r="L55" s="103">
        <f t="shared" si="6"/>
        <v>0</v>
      </c>
      <c r="M55" s="57">
        <f t="shared" si="7"/>
        <v>0</v>
      </c>
      <c r="N55" s="57">
        <f t="shared" si="8"/>
        <v>0</v>
      </c>
      <c r="O55">
        <v>0</v>
      </c>
      <c r="P55" s="103">
        <f t="shared" si="0"/>
        <v>24</v>
      </c>
      <c r="Q55" s="103">
        <f t="shared" si="9"/>
        <v>498.51474022933382</v>
      </c>
      <c r="R55" s="103">
        <f t="shared" si="10"/>
        <v>6.7204965019868723E-2</v>
      </c>
      <c r="S55" s="103">
        <f t="shared" si="11"/>
        <v>498.51474022933417</v>
      </c>
      <c r="T55" s="103"/>
      <c r="U55" s="103"/>
    </row>
    <row r="56" spans="1:21">
      <c r="A56" s="64">
        <v>40</v>
      </c>
      <c r="B56" s="64">
        <v>24</v>
      </c>
      <c r="C56" s="64">
        <v>0</v>
      </c>
      <c r="D56" s="103">
        <f t="shared" si="2"/>
        <v>0</v>
      </c>
      <c r="E56" s="117">
        <f t="shared" si="3"/>
        <v>24</v>
      </c>
      <c r="F56" s="103">
        <f t="shared" si="12"/>
        <v>5.9623396394198142E-2</v>
      </c>
      <c r="G56" s="103">
        <f t="shared" si="4"/>
        <v>498.98914662966956</v>
      </c>
      <c r="H56" s="103">
        <f t="shared" si="5"/>
        <v>79.406293225599867</v>
      </c>
      <c r="I56" s="118">
        <f>E56/Steuerung!$D$4</f>
        <v>1</v>
      </c>
      <c r="J56" s="103">
        <f>F56/Steuerung!$D$2</f>
        <v>1.9874465464732715E-2</v>
      </c>
      <c r="K56" s="57">
        <f>60*H56/Steuerung!$D$1</f>
        <v>1.5881258645119973</v>
      </c>
      <c r="L56" s="103">
        <f t="shared" si="6"/>
        <v>0</v>
      </c>
      <c r="M56" s="57">
        <f t="shared" si="7"/>
        <v>0</v>
      </c>
      <c r="N56" s="57">
        <f t="shared" si="8"/>
        <v>0</v>
      </c>
      <c r="O56">
        <v>0</v>
      </c>
      <c r="P56" s="103">
        <f t="shared" si="0"/>
        <v>24</v>
      </c>
      <c r="Q56" s="103">
        <f t="shared" si="9"/>
        <v>498.98914662966956</v>
      </c>
      <c r="R56" s="103">
        <f t="shared" si="10"/>
        <v>5.9623396394272277E-2</v>
      </c>
      <c r="S56" s="103">
        <f t="shared" si="11"/>
        <v>498.9891466296699</v>
      </c>
      <c r="T56" s="103"/>
      <c r="U56" s="103"/>
    </row>
    <row r="57" spans="1:21">
      <c r="A57" s="64">
        <v>41</v>
      </c>
      <c r="B57" s="64">
        <v>24</v>
      </c>
      <c r="C57" s="64">
        <v>0</v>
      </c>
      <c r="D57" s="103">
        <f t="shared" si="2"/>
        <v>0</v>
      </c>
      <c r="E57" s="117">
        <f t="shared" si="3"/>
        <v>24</v>
      </c>
      <c r="F57" s="103">
        <f t="shared" si="12"/>
        <v>5.2897124439140117E-2</v>
      </c>
      <c r="G57" s="103">
        <f t="shared" si="4"/>
        <v>499.41003399789952</v>
      </c>
      <c r="H57" s="103">
        <f t="shared" si="5"/>
        <v>79.473270846260263</v>
      </c>
      <c r="I57" s="118">
        <f>E57/Steuerung!$D$4</f>
        <v>1</v>
      </c>
      <c r="J57" s="103">
        <f>F57/Steuerung!$D$2</f>
        <v>1.7632374813046706E-2</v>
      </c>
      <c r="K57" s="57">
        <f>60*H57/Steuerung!$D$1</f>
        <v>1.5894654169252054</v>
      </c>
      <c r="L57" s="103">
        <f t="shared" si="6"/>
        <v>0</v>
      </c>
      <c r="M57" s="57">
        <f t="shared" si="7"/>
        <v>0</v>
      </c>
      <c r="N57" s="57">
        <f t="shared" si="8"/>
        <v>0</v>
      </c>
      <c r="O57">
        <v>0</v>
      </c>
      <c r="P57" s="103">
        <f t="shared" si="0"/>
        <v>24</v>
      </c>
      <c r="Q57" s="103">
        <f t="shared" si="9"/>
        <v>499.41003399789952</v>
      </c>
      <c r="R57" s="103">
        <f t="shared" si="10"/>
        <v>5.2897124439198251E-2</v>
      </c>
      <c r="S57" s="103">
        <f t="shared" si="11"/>
        <v>499.41003399789975</v>
      </c>
      <c r="T57" s="103"/>
      <c r="U57" s="103"/>
    </row>
    <row r="58" spans="1:21">
      <c r="A58" s="64">
        <v>42</v>
      </c>
      <c r="B58" s="64">
        <v>24</v>
      </c>
      <c r="C58" s="64">
        <v>0</v>
      </c>
      <c r="D58" s="103">
        <f t="shared" si="2"/>
        <v>0</v>
      </c>
      <c r="E58" s="117">
        <f t="shared" si="3"/>
        <v>24</v>
      </c>
      <c r="F58" s="103">
        <f t="shared" si="12"/>
        <v>4.6929660890673686E-2</v>
      </c>
      <c r="G58" s="103">
        <f t="shared" si="4"/>
        <v>499.78343995660953</v>
      </c>
      <c r="H58" s="103">
        <f t="shared" si="5"/>
        <v>79.532692545609407</v>
      </c>
      <c r="I58" s="118">
        <f>E58/Steuerung!$D$4</f>
        <v>1</v>
      </c>
      <c r="J58" s="103">
        <f>F58/Steuerung!$D$2</f>
        <v>1.564322029689123E-2</v>
      </c>
      <c r="K58" s="57">
        <f>60*H58/Steuerung!$D$1</f>
        <v>1.5906538509121879</v>
      </c>
      <c r="L58" s="103">
        <f t="shared" si="6"/>
        <v>0</v>
      </c>
      <c r="M58" s="57">
        <f t="shared" si="7"/>
        <v>0</v>
      </c>
      <c r="N58" s="57">
        <f t="shared" si="8"/>
        <v>0</v>
      </c>
      <c r="O58">
        <v>0</v>
      </c>
      <c r="P58" s="103">
        <f t="shared" si="0"/>
        <v>24</v>
      </c>
      <c r="Q58" s="103">
        <f t="shared" si="9"/>
        <v>499.78343995660953</v>
      </c>
      <c r="R58" s="103">
        <f t="shared" si="10"/>
        <v>4.6929660890782543E-2</v>
      </c>
      <c r="S58" s="103">
        <f t="shared" si="11"/>
        <v>499.78343995660993</v>
      </c>
      <c r="T58" s="103"/>
      <c r="U58" s="103"/>
    </row>
    <row r="59" spans="1:21">
      <c r="A59" s="64">
        <v>43</v>
      </c>
      <c r="B59" s="64">
        <v>24</v>
      </c>
      <c r="C59" s="64">
        <v>0</v>
      </c>
      <c r="D59" s="103">
        <f t="shared" si="2"/>
        <v>0</v>
      </c>
      <c r="E59" s="117">
        <f t="shared" si="3"/>
        <v>24</v>
      </c>
      <c r="F59" s="103">
        <f t="shared" si="12"/>
        <v>4.1635402579350063E-2</v>
      </c>
      <c r="G59" s="103">
        <f t="shared" si="4"/>
        <v>500.11472100832299</v>
      </c>
      <c r="H59" s="103">
        <f t="shared" si="5"/>
        <v>79.585410726976932</v>
      </c>
      <c r="I59" s="118">
        <f>E59/Steuerung!$D$4</f>
        <v>1</v>
      </c>
      <c r="J59" s="103">
        <f>F59/Steuerung!$D$2</f>
        <v>1.3878467526450021E-2</v>
      </c>
      <c r="K59" s="57">
        <f>60*H59/Steuerung!$D$1</f>
        <v>1.5917082145395385</v>
      </c>
      <c r="L59" s="103">
        <f t="shared" si="6"/>
        <v>0</v>
      </c>
      <c r="M59" s="57">
        <f t="shared" si="7"/>
        <v>0</v>
      </c>
      <c r="N59" s="57">
        <f t="shared" si="8"/>
        <v>0</v>
      </c>
      <c r="O59">
        <v>0</v>
      </c>
      <c r="P59" s="103">
        <f t="shared" si="0"/>
        <v>24</v>
      </c>
      <c r="Q59" s="103">
        <f t="shared" si="9"/>
        <v>500.11472100832299</v>
      </c>
      <c r="R59" s="103">
        <f t="shared" si="10"/>
        <v>4.1635402579458969E-2</v>
      </c>
      <c r="S59" s="103">
        <f t="shared" si="11"/>
        <v>500.11472100832344</v>
      </c>
      <c r="T59" s="103"/>
      <c r="U59" s="103"/>
    </row>
    <row r="60" spans="1:21">
      <c r="A60" s="64">
        <v>44</v>
      </c>
      <c r="B60" s="64">
        <v>24</v>
      </c>
      <c r="C60" s="64">
        <v>0</v>
      </c>
      <c r="D60" s="103">
        <f t="shared" si="2"/>
        <v>0</v>
      </c>
      <c r="E60" s="117">
        <f t="shared" si="3"/>
        <v>24</v>
      </c>
      <c r="F60" s="103">
        <f t="shared" si="12"/>
        <v>3.6938403454116066E-2</v>
      </c>
      <c r="G60" s="103">
        <f t="shared" si="4"/>
        <v>500.40862937444422</v>
      </c>
      <c r="H60" s="103">
        <f t="shared" si="5"/>
        <v>79.632181631833902</v>
      </c>
      <c r="I60" s="118">
        <f>E60/Steuerung!$D$4</f>
        <v>1</v>
      </c>
      <c r="J60" s="103">
        <f>F60/Steuerung!$D$2</f>
        <v>1.2312801151372023E-2</v>
      </c>
      <c r="K60" s="57">
        <f>60*H60/Steuerung!$D$1</f>
        <v>1.592643632636678</v>
      </c>
      <c r="L60" s="103">
        <f t="shared" si="6"/>
        <v>0</v>
      </c>
      <c r="M60" s="57">
        <f t="shared" si="7"/>
        <v>0</v>
      </c>
      <c r="N60" s="57">
        <f t="shared" si="8"/>
        <v>0</v>
      </c>
      <c r="O60">
        <v>0</v>
      </c>
      <c r="P60" s="103">
        <f t="shared" si="0"/>
        <v>24</v>
      </c>
      <c r="Q60" s="103">
        <f t="shared" si="9"/>
        <v>500.40862937444422</v>
      </c>
      <c r="R60" s="103">
        <f t="shared" si="10"/>
        <v>3.6938403454257696E-2</v>
      </c>
      <c r="S60" s="103">
        <f t="shared" si="11"/>
        <v>500.40862937444473</v>
      </c>
      <c r="T60" s="103"/>
      <c r="U60" s="103"/>
    </row>
    <row r="61" spans="1:21">
      <c r="A61" s="64">
        <v>45</v>
      </c>
      <c r="B61" s="64">
        <v>24</v>
      </c>
      <c r="C61" s="64">
        <v>0</v>
      </c>
      <c r="D61" s="103">
        <f t="shared" si="2"/>
        <v>0</v>
      </c>
      <c r="E61" s="117">
        <f t="shared" si="3"/>
        <v>24</v>
      </c>
      <c r="F61" s="103">
        <f t="shared" si="12"/>
        <v>3.2771285137418289E-2</v>
      </c>
      <c r="G61" s="103">
        <f t="shared" si="4"/>
        <v>500.6693811657986</v>
      </c>
      <c r="H61" s="103">
        <f t="shared" si="5"/>
        <v>79.673676188064704</v>
      </c>
      <c r="I61" s="118">
        <f>E61/Steuerung!$D$4</f>
        <v>1</v>
      </c>
      <c r="J61" s="103">
        <f>F61/Steuerung!$D$2</f>
        <v>1.0923761712472764E-2</v>
      </c>
      <c r="K61" s="57">
        <f>60*H61/Steuerung!$D$1</f>
        <v>1.593473523761294</v>
      </c>
      <c r="L61" s="103">
        <f t="shared" si="6"/>
        <v>0</v>
      </c>
      <c r="M61" s="57">
        <f t="shared" si="7"/>
        <v>0</v>
      </c>
      <c r="N61" s="57">
        <f t="shared" si="8"/>
        <v>0</v>
      </c>
      <c r="O61">
        <v>0</v>
      </c>
      <c r="P61" s="103">
        <f t="shared" si="0"/>
        <v>24</v>
      </c>
      <c r="Q61" s="103">
        <f t="shared" si="9"/>
        <v>500.6693811657986</v>
      </c>
      <c r="R61" s="103">
        <f t="shared" si="10"/>
        <v>3.2771285137528139E-2</v>
      </c>
      <c r="S61" s="103">
        <f t="shared" si="11"/>
        <v>500.66938116579905</v>
      </c>
      <c r="T61" s="103"/>
      <c r="U61" s="103"/>
    </row>
    <row r="62" spans="1:21">
      <c r="A62" s="64">
        <v>46</v>
      </c>
      <c r="B62" s="64">
        <v>24</v>
      </c>
      <c r="C62" s="64">
        <v>0</v>
      </c>
      <c r="D62" s="103">
        <f t="shared" si="2"/>
        <v>0</v>
      </c>
      <c r="E62" s="117">
        <f t="shared" si="3"/>
        <v>24</v>
      </c>
      <c r="F62" s="103">
        <f t="shared" si="12"/>
        <v>2.9074270383450371E-2</v>
      </c>
      <c r="G62" s="103">
        <f t="shared" si="4"/>
        <v>500.90071686267521</v>
      </c>
      <c r="H62" s="103">
        <f t="shared" si="5"/>
        <v>79.710489634416803</v>
      </c>
      <c r="I62" s="118">
        <f>E62/Steuerung!$D$4</f>
        <v>1</v>
      </c>
      <c r="J62" s="103">
        <f>F62/Steuerung!$D$2</f>
        <v>9.6914234611501244E-3</v>
      </c>
      <c r="K62" s="57">
        <f>60*H62/Steuerung!$D$1</f>
        <v>1.5942097926883361</v>
      </c>
      <c r="L62" s="103">
        <f t="shared" si="6"/>
        <v>0</v>
      </c>
      <c r="M62" s="57">
        <f t="shared" si="7"/>
        <v>0</v>
      </c>
      <c r="N62" s="57">
        <f t="shared" si="8"/>
        <v>0</v>
      </c>
      <c r="O62">
        <v>0</v>
      </c>
      <c r="P62" s="103">
        <f t="shared" si="0"/>
        <v>24</v>
      </c>
      <c r="Q62" s="103">
        <f t="shared" si="9"/>
        <v>500.90071686267521</v>
      </c>
      <c r="R62" s="103">
        <f t="shared" si="10"/>
        <v>2.9074270383603107E-2</v>
      </c>
      <c r="S62" s="103">
        <f t="shared" si="11"/>
        <v>500.90071686267578</v>
      </c>
      <c r="T62" s="103"/>
      <c r="U62" s="103"/>
    </row>
    <row r="63" spans="1:21">
      <c r="A63" s="64">
        <v>47</v>
      </c>
      <c r="B63" s="64">
        <v>24</v>
      </c>
      <c r="C63" s="64">
        <v>0</v>
      </c>
      <c r="D63" s="103">
        <f t="shared" si="2"/>
        <v>0</v>
      </c>
      <c r="E63" s="117">
        <f t="shared" si="3"/>
        <v>24</v>
      </c>
      <c r="F63" s="103">
        <f t="shared" si="12"/>
        <v>2.5794325574519782E-2</v>
      </c>
      <c r="G63" s="103">
        <f t="shared" si="4"/>
        <v>501.10595497195686</v>
      </c>
      <c r="H63" s="103">
        <f t="shared" si="5"/>
        <v>79.743150059191095</v>
      </c>
      <c r="I63" s="118">
        <f>E63/Steuerung!$D$4</f>
        <v>1</v>
      </c>
      <c r="J63" s="103">
        <f>F63/Steuerung!$D$2</f>
        <v>8.5981085248399269E-3</v>
      </c>
      <c r="K63" s="57">
        <f>60*H63/Steuerung!$D$1</f>
        <v>1.5948630011838218</v>
      </c>
      <c r="L63" s="103">
        <f t="shared" si="6"/>
        <v>0</v>
      </c>
      <c r="M63" s="57">
        <f t="shared" si="7"/>
        <v>0</v>
      </c>
      <c r="N63" s="57">
        <f t="shared" si="8"/>
        <v>0</v>
      </c>
      <c r="O63">
        <v>0</v>
      </c>
      <c r="P63" s="103">
        <f t="shared" si="0"/>
        <v>24</v>
      </c>
      <c r="Q63" s="103">
        <f t="shared" si="9"/>
        <v>501.10595497195686</v>
      </c>
      <c r="R63" s="103">
        <f t="shared" si="10"/>
        <v>2.5794325574736376E-2</v>
      </c>
      <c r="S63" s="103">
        <f t="shared" si="11"/>
        <v>501.1059549719576</v>
      </c>
      <c r="T63" s="103"/>
      <c r="U63" s="103"/>
    </row>
    <row r="64" spans="1:21">
      <c r="A64" s="64">
        <v>48</v>
      </c>
      <c r="B64" s="64">
        <v>24</v>
      </c>
      <c r="C64" s="64">
        <v>0</v>
      </c>
      <c r="D64" s="103">
        <f t="shared" si="2"/>
        <v>0</v>
      </c>
      <c r="E64" s="117">
        <f t="shared" si="3"/>
        <v>24</v>
      </c>
      <c r="F64" s="103">
        <f t="shared" si="12"/>
        <v>2.2884399954643045E-2</v>
      </c>
      <c r="G64" s="103">
        <f t="shared" si="4"/>
        <v>501.28803963104855</v>
      </c>
      <c r="H64" s="103">
        <f t="shared" si="5"/>
        <v>79.772125975660174</v>
      </c>
      <c r="I64" s="118">
        <f>E64/Steuerung!$D$4</f>
        <v>1</v>
      </c>
      <c r="J64" s="103">
        <f>F64/Steuerung!$D$2</f>
        <v>7.6281333182143486E-3</v>
      </c>
      <c r="K64" s="57">
        <f>60*H64/Steuerung!$D$1</f>
        <v>1.5954425195132034</v>
      </c>
      <c r="L64" s="103">
        <f t="shared" si="6"/>
        <v>0</v>
      </c>
      <c r="M64" s="57">
        <f t="shared" si="7"/>
        <v>0</v>
      </c>
      <c r="N64" s="57">
        <f t="shared" si="8"/>
        <v>0</v>
      </c>
      <c r="O64">
        <v>0</v>
      </c>
      <c r="P64" s="103">
        <f t="shared" si="0"/>
        <v>24</v>
      </c>
      <c r="Q64" s="103">
        <f t="shared" si="9"/>
        <v>501.28803963104855</v>
      </c>
      <c r="R64" s="103">
        <f t="shared" si="10"/>
        <v>2.2884399954818946E-2</v>
      </c>
      <c r="S64" s="103">
        <f t="shared" si="11"/>
        <v>501.28803963104923</v>
      </c>
      <c r="T64" s="103"/>
      <c r="U64" s="103"/>
    </row>
    <row r="65" spans="1:21">
      <c r="A65" s="64">
        <v>49</v>
      </c>
      <c r="B65" s="64">
        <v>24</v>
      </c>
      <c r="C65" s="64">
        <v>0</v>
      </c>
      <c r="D65" s="103">
        <f t="shared" si="2"/>
        <v>0</v>
      </c>
      <c r="E65" s="117">
        <f t="shared" si="3"/>
        <v>24</v>
      </c>
      <c r="F65" s="103">
        <f t="shared" si="12"/>
        <v>2.030275068720553E-2</v>
      </c>
      <c r="G65" s="103">
        <f t="shared" si="4"/>
        <v>501.44958284148146</v>
      </c>
      <c r="H65" s="103">
        <f t="shared" si="5"/>
        <v>79.797833042883752</v>
      </c>
      <c r="I65" s="118">
        <f>E65/Steuerung!$D$4</f>
        <v>1</v>
      </c>
      <c r="J65" s="103">
        <f>F65/Steuerung!$D$2</f>
        <v>6.7675835624018436E-3</v>
      </c>
      <c r="K65" s="57">
        <f>60*H65/Steuerung!$D$1</f>
        <v>1.5959566608576752</v>
      </c>
      <c r="L65" s="103">
        <f t="shared" si="6"/>
        <v>0</v>
      </c>
      <c r="M65" s="57">
        <f t="shared" si="7"/>
        <v>0</v>
      </c>
      <c r="N65" s="57">
        <f t="shared" si="8"/>
        <v>0</v>
      </c>
      <c r="O65">
        <v>0</v>
      </c>
      <c r="P65" s="103">
        <f t="shared" si="0"/>
        <v>24</v>
      </c>
      <c r="Q65" s="103">
        <f t="shared" si="9"/>
        <v>501.44958284148146</v>
      </c>
      <c r="R65" s="103">
        <f t="shared" si="10"/>
        <v>2.030275068739229E-2</v>
      </c>
      <c r="S65" s="103">
        <f t="shared" si="11"/>
        <v>501.4495828414822</v>
      </c>
      <c r="T65" s="103"/>
      <c r="U65" s="103"/>
    </row>
    <row r="66" spans="1:21">
      <c r="A66" s="64">
        <v>50</v>
      </c>
      <c r="B66" s="64">
        <v>24</v>
      </c>
      <c r="C66" s="64">
        <v>0</v>
      </c>
      <c r="D66" s="103">
        <f t="shared" si="2"/>
        <v>0</v>
      </c>
      <c r="E66" s="117">
        <f t="shared" si="3"/>
        <v>24</v>
      </c>
      <c r="F66" s="103">
        <f t="shared" si="12"/>
        <v>1.8012344054630494E-2</v>
      </c>
      <c r="G66" s="103">
        <f t="shared" si="4"/>
        <v>501.59290193803326</v>
      </c>
      <c r="H66" s="103">
        <f t="shared" si="5"/>
        <v>79.820640028331198</v>
      </c>
      <c r="I66" s="118">
        <f>E66/Steuerung!$D$4</f>
        <v>1</v>
      </c>
      <c r="J66" s="103">
        <f>F66/Steuerung!$D$2</f>
        <v>6.0041146848768311E-3</v>
      </c>
      <c r="K66" s="57">
        <f>60*H66/Steuerung!$D$1</f>
        <v>1.596412800566624</v>
      </c>
      <c r="L66" s="103">
        <f t="shared" si="6"/>
        <v>0</v>
      </c>
      <c r="M66" s="57">
        <f t="shared" si="7"/>
        <v>0</v>
      </c>
      <c r="N66" s="57">
        <f t="shared" si="8"/>
        <v>0</v>
      </c>
      <c r="O66">
        <v>0</v>
      </c>
      <c r="P66" s="103">
        <f t="shared" si="0"/>
        <v>24</v>
      </c>
      <c r="Q66" s="103">
        <f t="shared" si="9"/>
        <v>501.59290193803326</v>
      </c>
      <c r="R66" s="103">
        <f t="shared" si="10"/>
        <v>1.8012344054852747E-2</v>
      </c>
      <c r="S66" s="103">
        <f t="shared" si="11"/>
        <v>501.59290193803406</v>
      </c>
      <c r="T66" s="103"/>
      <c r="U66" s="103"/>
    </row>
    <row r="67" spans="1:21">
      <c r="A67" s="64">
        <v>51</v>
      </c>
      <c r="B67" s="64">
        <v>24</v>
      </c>
      <c r="C67" s="64">
        <v>0</v>
      </c>
      <c r="D67" s="103">
        <f t="shared" si="2"/>
        <v>0</v>
      </c>
      <c r="E67" s="117">
        <f t="shared" si="3"/>
        <v>24</v>
      </c>
      <c r="F67" s="103">
        <f t="shared" si="12"/>
        <v>1.598032421029856E-2</v>
      </c>
      <c r="G67" s="103">
        <f t="shared" si="4"/>
        <v>501.72005283085866</v>
      </c>
      <c r="H67" s="103">
        <f t="shared" si="5"/>
        <v>79.840874097845116</v>
      </c>
      <c r="I67" s="118">
        <f>E67/Steuerung!$D$4</f>
        <v>1</v>
      </c>
      <c r="J67" s="103">
        <f>F67/Steuerung!$D$2</f>
        <v>5.3267747367661865E-3</v>
      </c>
      <c r="K67" s="57">
        <f>60*H67/Steuerung!$D$1</f>
        <v>1.5968174819569025</v>
      </c>
      <c r="L67" s="103">
        <f t="shared" si="6"/>
        <v>0</v>
      </c>
      <c r="M67" s="57">
        <f t="shared" si="7"/>
        <v>0</v>
      </c>
      <c r="N67" s="57">
        <f t="shared" si="8"/>
        <v>0</v>
      </c>
      <c r="O67">
        <v>0</v>
      </c>
      <c r="P67" s="103">
        <f t="shared" si="0"/>
        <v>24</v>
      </c>
      <c r="Q67" s="103">
        <f t="shared" si="9"/>
        <v>501.72005283085866</v>
      </c>
      <c r="R67" s="103">
        <f t="shared" si="10"/>
        <v>1.5980324210545405E-2</v>
      </c>
      <c r="S67" s="103">
        <f t="shared" si="11"/>
        <v>501.72005283085957</v>
      </c>
      <c r="T67" s="103"/>
      <c r="U67" s="103"/>
    </row>
    <row r="68" spans="1:21">
      <c r="A68" s="64">
        <v>52</v>
      </c>
      <c r="B68" s="64">
        <v>24</v>
      </c>
      <c r="C68" s="64">
        <v>0</v>
      </c>
      <c r="D68" s="103">
        <f t="shared" si="2"/>
        <v>0</v>
      </c>
      <c r="E68" s="117">
        <f t="shared" si="3"/>
        <v>24</v>
      </c>
      <c r="F68" s="103">
        <f t="shared" si="12"/>
        <v>1.4177541861943217E-2</v>
      </c>
      <c r="G68" s="103">
        <f t="shared" si="4"/>
        <v>501.83285949748773</v>
      </c>
      <c r="H68" s="103">
        <f t="shared" si="5"/>
        <v>79.858825508830009</v>
      </c>
      <c r="I68" s="118">
        <f>E68/Steuerung!$D$4</f>
        <v>1</v>
      </c>
      <c r="J68" s="103">
        <f>F68/Steuerung!$D$2</f>
        <v>4.7258472873144058E-3</v>
      </c>
      <c r="K68" s="57">
        <f>60*H68/Steuerung!$D$1</f>
        <v>1.5971765101766002</v>
      </c>
      <c r="L68" s="103">
        <f t="shared" si="6"/>
        <v>0</v>
      </c>
      <c r="M68" s="57">
        <f t="shared" si="7"/>
        <v>0</v>
      </c>
      <c r="N68" s="57">
        <f t="shared" si="8"/>
        <v>0</v>
      </c>
      <c r="O68">
        <v>0</v>
      </c>
      <c r="P68" s="103">
        <f t="shared" si="0"/>
        <v>24</v>
      </c>
      <c r="Q68" s="103">
        <f t="shared" si="9"/>
        <v>501.83285949748773</v>
      </c>
      <c r="R68" s="103">
        <f t="shared" si="10"/>
        <v>1.4177541862125054E-2</v>
      </c>
      <c r="S68" s="103">
        <f t="shared" si="11"/>
        <v>501.83285949748847</v>
      </c>
      <c r="T68" s="103"/>
      <c r="U68" s="103"/>
    </row>
    <row r="69" spans="1:21">
      <c r="A69" s="64">
        <v>53</v>
      </c>
      <c r="B69" s="64">
        <v>24</v>
      </c>
      <c r="C69" s="64">
        <v>0</v>
      </c>
      <c r="D69" s="103">
        <f t="shared" si="2"/>
        <v>0</v>
      </c>
      <c r="E69" s="117">
        <f t="shared" si="3"/>
        <v>24</v>
      </c>
      <c r="F69" s="103">
        <f t="shared" si="12"/>
        <v>1.2578136125525408E-2</v>
      </c>
      <c r="G69" s="103">
        <f t="shared" si="4"/>
        <v>501.93294014775449</v>
      </c>
      <c r="H69" s="103">
        <f t="shared" si="5"/>
        <v>79.874751773990212</v>
      </c>
      <c r="I69" s="118">
        <f>E69/Steuerung!$D$4</f>
        <v>1</v>
      </c>
      <c r="J69" s="103">
        <f>F69/Steuerung!$D$2</f>
        <v>4.1927120418418029E-3</v>
      </c>
      <c r="K69" s="57">
        <f>60*H69/Steuerung!$D$1</f>
        <v>1.5974950354798041</v>
      </c>
      <c r="L69" s="103">
        <f t="shared" si="6"/>
        <v>0</v>
      </c>
      <c r="M69" s="57">
        <f t="shared" si="7"/>
        <v>0</v>
      </c>
      <c r="N69" s="57">
        <f t="shared" si="8"/>
        <v>0</v>
      </c>
      <c r="O69">
        <v>0</v>
      </c>
      <c r="P69" s="103">
        <f t="shared" si="0"/>
        <v>24</v>
      </c>
      <c r="Q69" s="103">
        <f t="shared" si="9"/>
        <v>501.93294014775449</v>
      </c>
      <c r="R69" s="103">
        <f t="shared" si="10"/>
        <v>1.2578136125682704E-2</v>
      </c>
      <c r="S69" s="103">
        <f t="shared" si="11"/>
        <v>501.93294014775512</v>
      </c>
      <c r="T69" s="103"/>
      <c r="U69" s="103"/>
    </row>
    <row r="70" spans="1:21">
      <c r="A70" s="64">
        <v>54</v>
      </c>
      <c r="B70" s="64">
        <v>24</v>
      </c>
      <c r="C70" s="64">
        <v>0</v>
      </c>
      <c r="D70" s="103">
        <f t="shared" si="2"/>
        <v>0</v>
      </c>
      <c r="E70" s="117">
        <f t="shared" si="3"/>
        <v>24</v>
      </c>
      <c r="F70" s="103">
        <f t="shared" si="12"/>
        <v>1.1159163551257343E-2</v>
      </c>
      <c r="G70" s="103">
        <f t="shared" si="4"/>
        <v>502.02173043699111</v>
      </c>
      <c r="H70" s="103">
        <f t="shared" si="5"/>
        <v>79.888881355345504</v>
      </c>
      <c r="I70" s="118">
        <f>E70/Steuerung!$D$4</f>
        <v>1</v>
      </c>
      <c r="J70" s="103">
        <f>F70/Steuerung!$D$2</f>
        <v>3.7197211837524478E-3</v>
      </c>
      <c r="K70" s="57">
        <f>60*H70/Steuerung!$D$1</f>
        <v>1.59777762710691</v>
      </c>
      <c r="L70" s="103">
        <f t="shared" si="6"/>
        <v>0</v>
      </c>
      <c r="M70" s="57">
        <f t="shared" si="7"/>
        <v>0</v>
      </c>
      <c r="N70" s="57">
        <f t="shared" si="8"/>
        <v>0</v>
      </c>
      <c r="O70">
        <v>0</v>
      </c>
      <c r="P70" s="103">
        <f t="shared" si="0"/>
        <v>24</v>
      </c>
      <c r="Q70" s="103">
        <f t="shared" si="9"/>
        <v>502.02173043699111</v>
      </c>
      <c r="R70" s="103">
        <f t="shared" si="10"/>
        <v>1.1159163551440088E-2</v>
      </c>
      <c r="S70" s="103">
        <f t="shared" si="11"/>
        <v>502.02173043699185</v>
      </c>
      <c r="T70" s="103"/>
      <c r="U70" s="103"/>
    </row>
    <row r="71" spans="1:21">
      <c r="A71" s="64">
        <v>55</v>
      </c>
      <c r="B71" s="64">
        <v>24</v>
      </c>
      <c r="C71" s="64">
        <v>0</v>
      </c>
      <c r="D71" s="103">
        <f t="shared" si="2"/>
        <v>0</v>
      </c>
      <c r="E71" s="117">
        <f t="shared" si="3"/>
        <v>24</v>
      </c>
      <c r="F71" s="103">
        <f t="shared" si="12"/>
        <v>9.9002690001919764E-3</v>
      </c>
      <c r="G71" s="103">
        <f t="shared" si="4"/>
        <v>502.10050406048083</v>
      </c>
      <c r="H71" s="103">
        <f t="shared" si="5"/>
        <v>79.901416941515095</v>
      </c>
      <c r="I71" s="118">
        <f>E71/Steuerung!$D$4</f>
        <v>1</v>
      </c>
      <c r="J71" s="103">
        <f>F71/Steuerung!$D$2</f>
        <v>3.3000896667306589E-3</v>
      </c>
      <c r="K71" s="57">
        <f>60*H71/Steuerung!$D$1</f>
        <v>1.598028338830302</v>
      </c>
      <c r="L71" s="103">
        <f t="shared" si="6"/>
        <v>0</v>
      </c>
      <c r="M71" s="57">
        <f t="shared" si="7"/>
        <v>0</v>
      </c>
      <c r="N71" s="57">
        <f t="shared" si="8"/>
        <v>0</v>
      </c>
      <c r="O71">
        <v>0</v>
      </c>
      <c r="P71" s="103">
        <f t="shared" si="0"/>
        <v>24</v>
      </c>
      <c r="Q71" s="103">
        <f t="shared" si="9"/>
        <v>502.10050406048083</v>
      </c>
      <c r="R71" s="103">
        <f t="shared" si="10"/>
        <v>9.9002690004112992E-3</v>
      </c>
      <c r="S71" s="103">
        <f t="shared" si="11"/>
        <v>502.10050406048168</v>
      </c>
      <c r="T71" s="103"/>
      <c r="U71" s="103"/>
    </row>
    <row r="72" spans="1:21">
      <c r="A72" s="64">
        <v>56</v>
      </c>
      <c r="B72" s="64">
        <v>24</v>
      </c>
      <c r="C72" s="64">
        <v>0</v>
      </c>
      <c r="D72" s="103">
        <f t="shared" si="2"/>
        <v>0</v>
      </c>
      <c r="E72" s="117">
        <f t="shared" si="3"/>
        <v>24</v>
      </c>
      <c r="F72" s="103">
        <f t="shared" si="12"/>
        <v>8.7833936500648219E-3</v>
      </c>
      <c r="G72" s="103">
        <f t="shared" si="4"/>
        <v>502.17039102459654</v>
      </c>
      <c r="H72" s="103">
        <f t="shared" si="5"/>
        <v>79.912538355282706</v>
      </c>
      <c r="I72" s="118">
        <f>E72/Steuerung!$D$4</f>
        <v>1</v>
      </c>
      <c r="J72" s="103">
        <f>F72/Steuerung!$D$2</f>
        <v>2.9277978833549406E-3</v>
      </c>
      <c r="K72" s="57">
        <f>60*H72/Steuerung!$D$1</f>
        <v>1.5982507671056541</v>
      </c>
      <c r="L72" s="103">
        <f t="shared" si="6"/>
        <v>0</v>
      </c>
      <c r="M72" s="57">
        <f t="shared" si="7"/>
        <v>0</v>
      </c>
      <c r="N72" s="57">
        <f t="shared" si="8"/>
        <v>0</v>
      </c>
      <c r="O72">
        <v>0</v>
      </c>
      <c r="P72" s="103">
        <f t="shared" si="0"/>
        <v>24</v>
      </c>
      <c r="Q72" s="103">
        <f t="shared" si="9"/>
        <v>502.17039102459654</v>
      </c>
      <c r="R72" s="103">
        <f t="shared" si="10"/>
        <v>8.7833936502761389E-3</v>
      </c>
      <c r="S72" s="103">
        <f t="shared" si="11"/>
        <v>502.17039102459739</v>
      </c>
      <c r="T72" s="103"/>
      <c r="U72" s="103"/>
    </row>
    <row r="73" spans="1:21">
      <c r="A73" s="64">
        <v>57</v>
      </c>
      <c r="B73" s="64">
        <v>24</v>
      </c>
      <c r="C73" s="64">
        <v>0</v>
      </c>
      <c r="D73" s="103">
        <f t="shared" si="2"/>
        <v>0</v>
      </c>
      <c r="E73" s="117">
        <f t="shared" si="3"/>
        <v>24</v>
      </c>
      <c r="F73" s="103">
        <f t="shared" si="12"/>
        <v>7.7925159417906679E-3</v>
      </c>
      <c r="G73" s="103">
        <f t="shared" si="4"/>
        <v>502.23239385672412</v>
      </c>
      <c r="H73" s="103">
        <f t="shared" si="5"/>
        <v>79.922405133151514</v>
      </c>
      <c r="I73" s="118">
        <f>E73/Steuerung!$D$4</f>
        <v>1</v>
      </c>
      <c r="J73" s="103">
        <f>F73/Steuerung!$D$2</f>
        <v>2.5975053139302225E-3</v>
      </c>
      <c r="K73" s="57">
        <f>60*H73/Steuerung!$D$1</f>
        <v>1.5984481026630304</v>
      </c>
      <c r="L73" s="103">
        <f t="shared" si="6"/>
        <v>0</v>
      </c>
      <c r="M73" s="57">
        <f t="shared" si="7"/>
        <v>0</v>
      </c>
      <c r="N73" s="57">
        <f t="shared" si="8"/>
        <v>0</v>
      </c>
      <c r="O73">
        <v>0</v>
      </c>
      <c r="P73" s="103">
        <f t="shared" si="0"/>
        <v>24</v>
      </c>
      <c r="Q73" s="103">
        <f t="shared" si="9"/>
        <v>502.23239385672412</v>
      </c>
      <c r="R73" s="103">
        <f t="shared" si="10"/>
        <v>7.7925159419578449E-3</v>
      </c>
      <c r="S73" s="103">
        <f t="shared" si="11"/>
        <v>502.2323938567248</v>
      </c>
      <c r="T73" s="103"/>
      <c r="U73" s="103"/>
    </row>
    <row r="74" spans="1:21">
      <c r="A74" s="64">
        <v>58</v>
      </c>
      <c r="B74" s="64">
        <v>24</v>
      </c>
      <c r="C74" s="64">
        <v>0</v>
      </c>
      <c r="D74" s="103">
        <f t="shared" si="2"/>
        <v>0</v>
      </c>
      <c r="E74" s="117">
        <f t="shared" si="3"/>
        <v>24</v>
      </c>
      <c r="F74" s="103">
        <f t="shared" si="12"/>
        <v>6.913421750441252E-3</v>
      </c>
      <c r="G74" s="103">
        <f t="shared" si="4"/>
        <v>502.28740198650166</v>
      </c>
      <c r="H74" s="103">
        <f t="shared" si="5"/>
        <v>79.931158813892694</v>
      </c>
      <c r="I74" s="118">
        <f>E74/Steuerung!$D$4</f>
        <v>1</v>
      </c>
      <c r="J74" s="103">
        <f>F74/Steuerung!$D$2</f>
        <v>2.3044739168137508E-3</v>
      </c>
      <c r="K74" s="57">
        <f>60*H74/Steuerung!$D$1</f>
        <v>1.598623176277854</v>
      </c>
      <c r="L74" s="103">
        <f t="shared" si="6"/>
        <v>0</v>
      </c>
      <c r="M74" s="57">
        <f t="shared" si="7"/>
        <v>0</v>
      </c>
      <c r="N74" s="57">
        <f t="shared" si="8"/>
        <v>0</v>
      </c>
      <c r="O74">
        <v>0</v>
      </c>
      <c r="P74" s="103">
        <f t="shared" si="0"/>
        <v>24</v>
      </c>
      <c r="Q74" s="103">
        <f t="shared" si="9"/>
        <v>502.28740198650166</v>
      </c>
      <c r="R74" s="103">
        <f t="shared" si="10"/>
        <v>6.9134217505961715E-3</v>
      </c>
      <c r="S74" s="103">
        <f t="shared" si="11"/>
        <v>502.28740198650229</v>
      </c>
      <c r="T74" s="103"/>
      <c r="U74" s="103"/>
    </row>
    <row r="75" spans="1:21">
      <c r="A75" s="64">
        <v>59</v>
      </c>
      <c r="B75" s="64">
        <v>24</v>
      </c>
      <c r="C75" s="64">
        <v>0</v>
      </c>
      <c r="D75" s="103">
        <f t="shared" si="2"/>
        <v>0</v>
      </c>
      <c r="E75" s="117">
        <f t="shared" si="3"/>
        <v>24</v>
      </c>
      <c r="F75" s="103">
        <f t="shared" si="12"/>
        <v>6.1335004838631033E-3</v>
      </c>
      <c r="G75" s="103">
        <f t="shared" si="4"/>
        <v>502.33620450467373</v>
      </c>
      <c r="H75" s="103">
        <f t="shared" si="5"/>
        <v>79.938924968916893</v>
      </c>
      <c r="I75" s="118">
        <f>E75/Steuerung!$D$4</f>
        <v>1</v>
      </c>
      <c r="J75" s="103">
        <f>F75/Steuerung!$D$2</f>
        <v>2.044500161287701E-3</v>
      </c>
      <c r="K75" s="57">
        <f>60*H75/Steuerung!$D$1</f>
        <v>1.598778499378338</v>
      </c>
      <c r="L75" s="103">
        <f t="shared" si="6"/>
        <v>0</v>
      </c>
      <c r="M75" s="57">
        <f t="shared" si="7"/>
        <v>0</v>
      </c>
      <c r="N75" s="57">
        <f t="shared" si="8"/>
        <v>0</v>
      </c>
      <c r="O75">
        <v>0</v>
      </c>
      <c r="P75" s="103">
        <f t="shared" si="0"/>
        <v>24</v>
      </c>
      <c r="Q75" s="103">
        <f t="shared" si="9"/>
        <v>502.33620450467373</v>
      </c>
      <c r="R75" s="103">
        <f t="shared" si="10"/>
        <v>6.1335004839975227E-3</v>
      </c>
      <c r="S75" s="103">
        <f t="shared" si="11"/>
        <v>502.33620450467424</v>
      </c>
      <c r="T75" s="103"/>
      <c r="U75" s="103"/>
    </row>
    <row r="76" spans="1:21">
      <c r="A76" s="64">
        <v>60</v>
      </c>
      <c r="B76" s="64">
        <v>0</v>
      </c>
      <c r="C76" s="64">
        <v>0</v>
      </c>
      <c r="D76" s="103">
        <f t="shared" si="2"/>
        <v>0</v>
      </c>
      <c r="E76" s="117">
        <f t="shared" si="3"/>
        <v>0</v>
      </c>
      <c r="F76" s="103">
        <f t="shared" si="12"/>
        <v>-6.8913956925472917</v>
      </c>
      <c r="G76" s="103">
        <f t="shared" si="4"/>
        <v>447.50332980267427</v>
      </c>
      <c r="H76" s="103">
        <f t="shared" si="5"/>
        <v>71.213133323149947</v>
      </c>
      <c r="I76" s="118">
        <f>E76/Steuerung!$D$4</f>
        <v>0</v>
      </c>
      <c r="J76" s="103">
        <f>F76/Steuerung!$D$2</f>
        <v>-2.2971318975157637</v>
      </c>
      <c r="K76" s="57">
        <f>60*H76/Steuerung!$D$1</f>
        <v>1.4242626664629989</v>
      </c>
      <c r="L76" s="103">
        <f t="shared" si="6"/>
        <v>0</v>
      </c>
      <c r="M76" s="57">
        <f t="shared" si="7"/>
        <v>0</v>
      </c>
      <c r="N76" s="57">
        <f t="shared" si="8"/>
        <v>0</v>
      </c>
      <c r="O76">
        <v>0</v>
      </c>
      <c r="P76" s="103">
        <f t="shared" si="0"/>
        <v>0</v>
      </c>
      <c r="Q76" s="103">
        <f t="shared" si="9"/>
        <v>447.50332980267427</v>
      </c>
      <c r="R76" s="103">
        <f t="shared" si="10"/>
        <v>-6.8913956925471211</v>
      </c>
      <c r="S76" s="103">
        <f t="shared" si="11"/>
        <v>447.5033298026749</v>
      </c>
      <c r="T76" s="103"/>
      <c r="U76" s="103"/>
    </row>
    <row r="77" spans="1:21">
      <c r="A77" s="64">
        <v>61</v>
      </c>
      <c r="B77" s="64">
        <v>0</v>
      </c>
      <c r="C77" s="64">
        <v>0</v>
      </c>
      <c r="D77" s="103">
        <f t="shared" si="2"/>
        <v>0</v>
      </c>
      <c r="E77" s="117">
        <f t="shared" si="3"/>
        <v>0</v>
      </c>
      <c r="F77" s="103">
        <f t="shared" si="12"/>
        <v>-6.3373541990759996</v>
      </c>
      <c r="G77" s="103">
        <f t="shared" si="4"/>
        <v>397.07880562161125</v>
      </c>
      <c r="H77" s="103">
        <f t="shared" si="5"/>
        <v>63.188861492936226</v>
      </c>
      <c r="I77" s="118">
        <f>E77/Steuerung!$D$4</f>
        <v>0</v>
      </c>
      <c r="J77" s="103">
        <f>F77/Steuerung!$D$2</f>
        <v>-2.112451399692</v>
      </c>
      <c r="K77" s="57">
        <f>60*H77/Steuerung!$D$1</f>
        <v>1.2637772298587246</v>
      </c>
      <c r="L77" s="103">
        <f t="shared" si="6"/>
        <v>0</v>
      </c>
      <c r="M77" s="57">
        <f t="shared" si="7"/>
        <v>0</v>
      </c>
      <c r="N77" s="57">
        <f t="shared" si="8"/>
        <v>0</v>
      </c>
      <c r="O77">
        <v>0</v>
      </c>
      <c r="P77" s="103">
        <f t="shared" si="0"/>
        <v>0</v>
      </c>
      <c r="Q77" s="103">
        <f t="shared" si="9"/>
        <v>397.07880562161125</v>
      </c>
      <c r="R77" s="103">
        <f t="shared" si="10"/>
        <v>-6.3373541990758326</v>
      </c>
      <c r="S77" s="103">
        <f t="shared" si="11"/>
        <v>397.07880562161193</v>
      </c>
      <c r="T77" s="103"/>
      <c r="U77" s="103"/>
    </row>
    <row r="78" spans="1:21">
      <c r="A78" s="64">
        <v>62</v>
      </c>
      <c r="B78" s="64">
        <v>0</v>
      </c>
      <c r="C78" s="64">
        <v>0</v>
      </c>
      <c r="D78" s="103">
        <f t="shared" si="2"/>
        <v>0</v>
      </c>
      <c r="E78" s="117">
        <f t="shared" si="3"/>
        <v>0</v>
      </c>
      <c r="F78" s="103">
        <f t="shared" si="12"/>
        <v>-5.6296565958917588</v>
      </c>
      <c r="G78" s="103">
        <f t="shared" si="4"/>
        <v>352.2852299063681</v>
      </c>
      <c r="H78" s="103">
        <f t="shared" si="5"/>
        <v>56.060666757856161</v>
      </c>
      <c r="I78" s="118">
        <f>E78/Steuerung!$D$4</f>
        <v>0</v>
      </c>
      <c r="J78" s="103">
        <f>F78/Steuerung!$D$2</f>
        <v>-1.8765521986305862</v>
      </c>
      <c r="K78" s="57">
        <f>60*H78/Steuerung!$D$1</f>
        <v>1.1212133351571232</v>
      </c>
      <c r="L78" s="103">
        <f t="shared" si="6"/>
        <v>0</v>
      </c>
      <c r="M78" s="57">
        <f t="shared" si="7"/>
        <v>0</v>
      </c>
      <c r="N78" s="57">
        <f t="shared" si="8"/>
        <v>0</v>
      </c>
      <c r="O78">
        <v>0</v>
      </c>
      <c r="P78" s="103">
        <f t="shared" si="0"/>
        <v>0</v>
      </c>
      <c r="Q78" s="103">
        <f t="shared" si="9"/>
        <v>352.2852299063681</v>
      </c>
      <c r="R78" s="103">
        <f t="shared" si="10"/>
        <v>-5.6296565958915892</v>
      </c>
      <c r="S78" s="103">
        <f t="shared" si="11"/>
        <v>352.28522990636873</v>
      </c>
      <c r="T78" s="103"/>
      <c r="U78" s="103"/>
    </row>
    <row r="79" spans="1:21">
      <c r="A79" s="64">
        <v>63</v>
      </c>
      <c r="B79" s="64">
        <v>0</v>
      </c>
      <c r="C79" s="64">
        <v>0</v>
      </c>
      <c r="D79" s="103">
        <f t="shared" si="2"/>
        <v>0</v>
      </c>
      <c r="E79" s="117">
        <f t="shared" si="3"/>
        <v>0</v>
      </c>
      <c r="F79" s="103">
        <f t="shared" si="12"/>
        <v>-4.9947946281311468</v>
      </c>
      <c r="G79" s="103">
        <f t="shared" si="4"/>
        <v>312.54307022995857</v>
      </c>
      <c r="H79" s="103">
        <f t="shared" si="5"/>
        <v>49.736325625391245</v>
      </c>
      <c r="I79" s="118">
        <f>E79/Steuerung!$D$4</f>
        <v>0</v>
      </c>
      <c r="J79" s="103">
        <f>F79/Steuerung!$D$2</f>
        <v>-1.6649315427103824</v>
      </c>
      <c r="K79" s="57">
        <f>60*H79/Steuerung!$D$1</f>
        <v>0.99472651250782484</v>
      </c>
      <c r="L79" s="103">
        <f t="shared" si="6"/>
        <v>0</v>
      </c>
      <c r="M79" s="57">
        <f t="shared" si="7"/>
        <v>0</v>
      </c>
      <c r="N79" s="57">
        <f t="shared" si="8"/>
        <v>0</v>
      </c>
      <c r="O79">
        <v>0</v>
      </c>
      <c r="P79" s="103">
        <f t="shared" ref="P79:P115" si="13">E79</f>
        <v>0</v>
      </c>
      <c r="Q79" s="103">
        <f t="shared" si="9"/>
        <v>312.54307022995857</v>
      </c>
      <c r="R79" s="103">
        <f t="shared" si="10"/>
        <v>-4.9947946281309612</v>
      </c>
      <c r="S79" s="103">
        <f t="shared" si="11"/>
        <v>312.54307022995926</v>
      </c>
      <c r="T79" s="103"/>
      <c r="U79" s="103"/>
    </row>
    <row r="80" spans="1:21">
      <c r="A80" s="64">
        <v>64</v>
      </c>
      <c r="B80" s="64">
        <v>0</v>
      </c>
      <c r="C80" s="64">
        <v>0</v>
      </c>
      <c r="D80" s="103">
        <f t="shared" si="2"/>
        <v>0</v>
      </c>
      <c r="E80" s="117">
        <f t="shared" si="3"/>
        <v>0</v>
      </c>
      <c r="F80" s="103">
        <f t="shared" si="12"/>
        <v>-4.4313263184973204</v>
      </c>
      <c r="G80" s="103">
        <f t="shared" si="4"/>
        <v>277.28426756845857</v>
      </c>
      <c r="H80" s="103">
        <f t="shared" si="5"/>
        <v>44.125440415095255</v>
      </c>
      <c r="I80" s="118">
        <f>E80/Steuerung!$D$4</f>
        <v>0</v>
      </c>
      <c r="J80" s="103">
        <f>F80/Steuerung!$D$2</f>
        <v>-1.4771087728324401</v>
      </c>
      <c r="K80" s="57">
        <f>60*H80/Steuerung!$D$1</f>
        <v>0.88250880830190515</v>
      </c>
      <c r="L80" s="103">
        <f t="shared" si="6"/>
        <v>0</v>
      </c>
      <c r="M80" s="57">
        <f t="shared" si="7"/>
        <v>0</v>
      </c>
      <c r="N80" s="57">
        <f t="shared" si="8"/>
        <v>0</v>
      </c>
      <c r="O80">
        <v>0</v>
      </c>
      <c r="P80" s="103">
        <f t="shared" si="13"/>
        <v>0</v>
      </c>
      <c r="Q80" s="103">
        <f t="shared" si="9"/>
        <v>277.28426756845857</v>
      </c>
      <c r="R80" s="103">
        <f t="shared" si="10"/>
        <v>-4.4313263184971277</v>
      </c>
      <c r="S80" s="103">
        <f t="shared" si="11"/>
        <v>277.28426756845926</v>
      </c>
      <c r="T80" s="103"/>
      <c r="U80" s="103"/>
    </row>
    <row r="81" spans="1:21">
      <c r="A81" s="64">
        <v>65</v>
      </c>
      <c r="B81" s="64">
        <v>0</v>
      </c>
      <c r="C81" s="64">
        <v>0</v>
      </c>
      <c r="D81" s="103">
        <f t="shared" ref="D81:D115" si="14">C81*$M$12</f>
        <v>0</v>
      </c>
      <c r="E81" s="117">
        <f t="shared" ref="E81:E115" si="15">B81-L81</f>
        <v>0</v>
      </c>
      <c r="F81" s="103">
        <f t="shared" si="12"/>
        <v>-3.9314170030152185</v>
      </c>
      <c r="G81" s="103">
        <f t="shared" ref="G81:G115" si="16">$Q$6*F81+G80+D81</f>
        <v>246.00310108997974</v>
      </c>
      <c r="H81" s="103">
        <f t="shared" ref="H81:H115" si="17">G81/$M$6</f>
        <v>39.147533591658139</v>
      </c>
      <c r="I81" s="118">
        <f>E81/Steuerung!$D$4</f>
        <v>0</v>
      </c>
      <c r="J81" s="103">
        <f>F81/Steuerung!$D$2</f>
        <v>-1.3104723343384062</v>
      </c>
      <c r="K81" s="57">
        <f>60*H81/Steuerung!$D$1</f>
        <v>0.7829506718331628</v>
      </c>
      <c r="L81" s="103">
        <f t="shared" ref="L81:L115" si="18">M81+N81</f>
        <v>0</v>
      </c>
      <c r="M81" s="57">
        <f t="shared" ref="M81:M115" si="19">$M$8*F80</f>
        <v>0</v>
      </c>
      <c r="N81" s="57">
        <f t="shared" ref="N81:N115" si="20">$M$9*G80</f>
        <v>0</v>
      </c>
      <c r="O81">
        <v>0</v>
      </c>
      <c r="P81" s="103">
        <f t="shared" si="13"/>
        <v>0</v>
      </c>
      <c r="Q81" s="103">
        <f t="shared" ref="Q81:Q115" si="21">G81+O81</f>
        <v>246.00310108997974</v>
      </c>
      <c r="R81" s="103">
        <f t="shared" ref="R81:R115" si="22">$Z$9*(R80+$Q$8*P81+$U$9*Q81)+$Z$9*$Z$8*$X$5*(S80+$U$10*Q81)</f>
        <v>-3.9314170030150706</v>
      </c>
      <c r="S81" s="103">
        <f t="shared" ref="S81:S115" si="23">$Z$8*(S80+$X$6*R81+$U$10*Q81)</f>
        <v>246.00310108998031</v>
      </c>
      <c r="T81" s="103"/>
      <c r="U81" s="103"/>
    </row>
    <row r="82" spans="1:21">
      <c r="A82" s="64">
        <v>66</v>
      </c>
      <c r="B82" s="64">
        <v>0</v>
      </c>
      <c r="C82" s="64">
        <v>0</v>
      </c>
      <c r="D82" s="103">
        <f t="shared" si="14"/>
        <v>0</v>
      </c>
      <c r="E82" s="117">
        <f t="shared" si="15"/>
        <v>0</v>
      </c>
      <c r="F82" s="103">
        <f t="shared" ref="F82:F115" si="24">(F81 +$Q$8*E82 +$Q$5*G81)/$R$10</f>
        <v>-3.4879035325433145</v>
      </c>
      <c r="G82" s="103">
        <f t="shared" si="16"/>
        <v>218.25084510220671</v>
      </c>
      <c r="H82" s="103">
        <f t="shared" si="17"/>
        <v>34.731197501942511</v>
      </c>
      <c r="I82" s="118">
        <f>E82/Steuerung!$D$4</f>
        <v>0</v>
      </c>
      <c r="J82" s="103">
        <f>F82/Steuerung!$D$2</f>
        <v>-1.1626345108477716</v>
      </c>
      <c r="K82" s="57">
        <f>60*H82/Steuerung!$D$1</f>
        <v>0.69462395003885025</v>
      </c>
      <c r="L82" s="103">
        <f t="shared" si="18"/>
        <v>0</v>
      </c>
      <c r="M82" s="57">
        <f t="shared" si="19"/>
        <v>0</v>
      </c>
      <c r="N82" s="57">
        <f t="shared" si="20"/>
        <v>0</v>
      </c>
      <c r="O82">
        <v>0</v>
      </c>
      <c r="P82" s="103">
        <f t="shared" si="13"/>
        <v>0</v>
      </c>
      <c r="Q82" s="103">
        <f t="shared" si="21"/>
        <v>218.25084510220671</v>
      </c>
      <c r="R82" s="103">
        <f t="shared" si="22"/>
        <v>-3.4879035325431857</v>
      </c>
      <c r="S82" s="103">
        <f t="shared" si="23"/>
        <v>218.25084510220719</v>
      </c>
      <c r="T82" s="103"/>
      <c r="U82" s="103"/>
    </row>
    <row r="83" spans="1:21">
      <c r="A83" s="64">
        <v>67</v>
      </c>
      <c r="B83" s="64">
        <v>0</v>
      </c>
      <c r="C83" s="64">
        <v>0</v>
      </c>
      <c r="D83" s="103">
        <f t="shared" si="14"/>
        <v>0</v>
      </c>
      <c r="E83" s="117">
        <f t="shared" si="15"/>
        <v>0</v>
      </c>
      <c r="F83" s="103">
        <f t="shared" si="24"/>
        <v>-3.0944239739082939</v>
      </c>
      <c r="G83" s="103">
        <f t="shared" si="16"/>
        <v>193.62939400490967</v>
      </c>
      <c r="H83" s="103">
        <f t="shared" si="17"/>
        <v>30.813079886204594</v>
      </c>
      <c r="I83" s="118">
        <f>E83/Steuerung!$D$4</f>
        <v>0</v>
      </c>
      <c r="J83" s="103">
        <f>F83/Steuerung!$D$2</f>
        <v>-1.0314746579694314</v>
      </c>
      <c r="K83" s="57">
        <f>60*H83/Steuerung!$D$1</f>
        <v>0.61626159772409184</v>
      </c>
      <c r="L83" s="103">
        <f t="shared" si="18"/>
        <v>0</v>
      </c>
      <c r="M83" s="57">
        <f t="shared" si="19"/>
        <v>0</v>
      </c>
      <c r="N83" s="57">
        <f t="shared" si="20"/>
        <v>0</v>
      </c>
      <c r="O83">
        <v>0</v>
      </c>
      <c r="P83" s="103">
        <f t="shared" si="13"/>
        <v>0</v>
      </c>
      <c r="Q83" s="103">
        <f t="shared" si="21"/>
        <v>193.62939400490967</v>
      </c>
      <c r="R83" s="103">
        <f t="shared" si="22"/>
        <v>-3.094423973908178</v>
      </c>
      <c r="S83" s="103">
        <f t="shared" si="23"/>
        <v>193.62939400491013</v>
      </c>
      <c r="T83" s="103"/>
      <c r="U83" s="103"/>
    </row>
    <row r="84" spans="1:21">
      <c r="A84" s="64">
        <v>68</v>
      </c>
      <c r="B84" s="64">
        <v>0</v>
      </c>
      <c r="C84" s="64">
        <v>0</v>
      </c>
      <c r="D84" s="103">
        <f t="shared" si="14"/>
        <v>0</v>
      </c>
      <c r="E84" s="117">
        <f t="shared" si="15"/>
        <v>0</v>
      </c>
      <c r="F84" s="103">
        <f t="shared" si="24"/>
        <v>-2.7453338775533584</v>
      </c>
      <c r="G84" s="103">
        <f t="shared" si="16"/>
        <v>171.78555347695487</v>
      </c>
      <c r="H84" s="103">
        <f t="shared" si="17"/>
        <v>27.336975410081934</v>
      </c>
      <c r="I84" s="118">
        <f>E84/Steuerung!$D$4</f>
        <v>0</v>
      </c>
      <c r="J84" s="103">
        <f>F84/Steuerung!$D$2</f>
        <v>-0.91511129251778611</v>
      </c>
      <c r="K84" s="57">
        <f>60*H84/Steuerung!$D$1</f>
        <v>0.54673950820163864</v>
      </c>
      <c r="L84" s="103">
        <f t="shared" si="18"/>
        <v>0</v>
      </c>
      <c r="M84" s="57">
        <f t="shared" si="19"/>
        <v>0</v>
      </c>
      <c r="N84" s="57">
        <f t="shared" si="20"/>
        <v>0</v>
      </c>
      <c r="O84">
        <v>0</v>
      </c>
      <c r="P84" s="103">
        <f t="shared" si="13"/>
        <v>0</v>
      </c>
      <c r="Q84" s="103">
        <f t="shared" si="21"/>
        <v>171.78555347695487</v>
      </c>
      <c r="R84" s="103">
        <f t="shared" si="22"/>
        <v>-2.7453338775532501</v>
      </c>
      <c r="S84" s="103">
        <f t="shared" si="23"/>
        <v>171.78555347695527</v>
      </c>
      <c r="T84" s="103"/>
      <c r="U84" s="103"/>
    </row>
    <row r="85" spans="1:21">
      <c r="A85" s="64">
        <v>69</v>
      </c>
      <c r="B85" s="64">
        <v>0</v>
      </c>
      <c r="C85" s="64">
        <v>0</v>
      </c>
      <c r="D85" s="103">
        <f t="shared" si="14"/>
        <v>0</v>
      </c>
      <c r="E85" s="117">
        <f t="shared" si="15"/>
        <v>0</v>
      </c>
      <c r="F85" s="103">
        <f t="shared" si="24"/>
        <v>-2.4356255518861283</v>
      </c>
      <c r="G85" s="103">
        <f t="shared" si="16"/>
        <v>152.40597397435997</v>
      </c>
      <c r="H85" s="103">
        <f t="shared" si="17"/>
        <v>24.253019410305534</v>
      </c>
      <c r="I85" s="118">
        <f>E85/Steuerung!$D$4</f>
        <v>0</v>
      </c>
      <c r="J85" s="103">
        <f>F85/Steuerung!$D$2</f>
        <v>-0.81187518396204272</v>
      </c>
      <c r="K85" s="57">
        <f>60*H85/Steuerung!$D$1</f>
        <v>0.48506038820611069</v>
      </c>
      <c r="L85" s="103">
        <f t="shared" si="18"/>
        <v>0</v>
      </c>
      <c r="M85" s="57">
        <f t="shared" si="19"/>
        <v>0</v>
      </c>
      <c r="N85" s="57">
        <f t="shared" si="20"/>
        <v>0</v>
      </c>
      <c r="O85">
        <v>0</v>
      </c>
      <c r="P85" s="103">
        <f t="shared" si="13"/>
        <v>0</v>
      </c>
      <c r="Q85" s="103">
        <f t="shared" si="21"/>
        <v>152.40597397435997</v>
      </c>
      <c r="R85" s="103">
        <f t="shared" si="22"/>
        <v>-2.4356255518860479</v>
      </c>
      <c r="S85" s="103">
        <f t="shared" si="23"/>
        <v>152.40597397436031</v>
      </c>
      <c r="T85" s="103"/>
      <c r="U85" s="103"/>
    </row>
    <row r="86" spans="1:21">
      <c r="A86" s="64">
        <v>70</v>
      </c>
      <c r="B86" s="64">
        <v>0</v>
      </c>
      <c r="C86" s="64">
        <v>0</v>
      </c>
      <c r="D86" s="103">
        <f t="shared" si="14"/>
        <v>0</v>
      </c>
      <c r="E86" s="117">
        <f t="shared" si="15"/>
        <v>0</v>
      </c>
      <c r="F86" s="103">
        <f t="shared" si="24"/>
        <v>-2.1608562359223176</v>
      </c>
      <c r="G86" s="103">
        <f t="shared" si="16"/>
        <v>135.21265573818621</v>
      </c>
      <c r="H86" s="103">
        <f t="shared" si="17"/>
        <v>21.516972587235234</v>
      </c>
      <c r="I86" s="118">
        <f>E86/Steuerung!$D$4</f>
        <v>0</v>
      </c>
      <c r="J86" s="103">
        <f>F86/Steuerung!$D$2</f>
        <v>-0.72028541197410589</v>
      </c>
      <c r="K86" s="57">
        <f>60*H86/Steuerung!$D$1</f>
        <v>0.43033945174470473</v>
      </c>
      <c r="L86" s="103">
        <f t="shared" si="18"/>
        <v>0</v>
      </c>
      <c r="M86" s="57">
        <f t="shared" si="19"/>
        <v>0</v>
      </c>
      <c r="N86" s="57">
        <f t="shared" si="20"/>
        <v>0</v>
      </c>
      <c r="O86">
        <v>0</v>
      </c>
      <c r="P86" s="103">
        <f t="shared" si="13"/>
        <v>0</v>
      </c>
      <c r="Q86" s="103">
        <f t="shared" si="21"/>
        <v>135.21265573818621</v>
      </c>
      <c r="R86" s="103">
        <f t="shared" si="22"/>
        <v>-2.160856235922239</v>
      </c>
      <c r="S86" s="103">
        <f t="shared" si="23"/>
        <v>135.21265573818653</v>
      </c>
      <c r="T86" s="103"/>
      <c r="U86" s="103"/>
    </row>
    <row r="87" spans="1:21">
      <c r="A87" s="64">
        <v>71</v>
      </c>
      <c r="B87" s="64">
        <v>0</v>
      </c>
      <c r="C87" s="64">
        <v>0</v>
      </c>
      <c r="D87" s="103">
        <f t="shared" si="14"/>
        <v>0</v>
      </c>
      <c r="E87" s="117">
        <f t="shared" si="15"/>
        <v>0</v>
      </c>
      <c r="F87" s="103">
        <f t="shared" si="24"/>
        <v>-1.91708436820614</v>
      </c>
      <c r="G87" s="103">
        <f t="shared" si="16"/>
        <v>119.95896089249764</v>
      </c>
      <c r="H87" s="103">
        <f t="shared" si="17"/>
        <v>19.089586392822667</v>
      </c>
      <c r="I87" s="118">
        <f>E87/Steuerung!$D$4</f>
        <v>0</v>
      </c>
      <c r="J87" s="103">
        <f>F87/Steuerung!$D$2</f>
        <v>-0.63902812273538001</v>
      </c>
      <c r="K87" s="57">
        <f>60*H87/Steuerung!$D$1</f>
        <v>0.38179172785645338</v>
      </c>
      <c r="L87" s="103">
        <f t="shared" si="18"/>
        <v>0</v>
      </c>
      <c r="M87" s="57">
        <f t="shared" si="19"/>
        <v>0</v>
      </c>
      <c r="N87" s="57">
        <f t="shared" si="20"/>
        <v>0</v>
      </c>
      <c r="O87">
        <v>0</v>
      </c>
      <c r="P87" s="103">
        <f t="shared" si="13"/>
        <v>0</v>
      </c>
      <c r="Q87" s="103">
        <f t="shared" si="21"/>
        <v>119.95896089249764</v>
      </c>
      <c r="R87" s="103">
        <f t="shared" si="22"/>
        <v>-1.9170843682060763</v>
      </c>
      <c r="S87" s="103">
        <f t="shared" si="23"/>
        <v>119.9589608924979</v>
      </c>
      <c r="T87" s="103"/>
      <c r="U87" s="103"/>
    </row>
    <row r="88" spans="1:21">
      <c r="A88" s="64">
        <v>72</v>
      </c>
      <c r="B88" s="64">
        <v>0</v>
      </c>
      <c r="C88" s="64">
        <v>0</v>
      </c>
      <c r="D88" s="103">
        <f t="shared" si="14"/>
        <v>0</v>
      </c>
      <c r="E88" s="117">
        <f t="shared" si="15"/>
        <v>0</v>
      </c>
      <c r="F88" s="103">
        <f t="shared" si="24"/>
        <v>-1.700813045182362</v>
      </c>
      <c r="G88" s="103">
        <f t="shared" si="16"/>
        <v>106.4260754279658</v>
      </c>
      <c r="H88" s="103">
        <f t="shared" si="17"/>
        <v>16.936040010815692</v>
      </c>
      <c r="I88" s="118">
        <f>E88/Steuerung!$D$4</f>
        <v>0</v>
      </c>
      <c r="J88" s="103">
        <f>F88/Steuerung!$D$2</f>
        <v>-0.56693768172745396</v>
      </c>
      <c r="K88" s="57">
        <f>60*H88/Steuerung!$D$1</f>
        <v>0.33872080021631384</v>
      </c>
      <c r="L88" s="103">
        <f t="shared" si="18"/>
        <v>0</v>
      </c>
      <c r="M88" s="57">
        <f t="shared" si="19"/>
        <v>0</v>
      </c>
      <c r="N88" s="57">
        <f t="shared" si="20"/>
        <v>0</v>
      </c>
      <c r="O88">
        <v>0</v>
      </c>
      <c r="P88" s="103">
        <f t="shared" si="13"/>
        <v>0</v>
      </c>
      <c r="Q88" s="103">
        <f t="shared" si="21"/>
        <v>106.4260754279658</v>
      </c>
      <c r="R88" s="103">
        <f t="shared" si="22"/>
        <v>-1.7008130451823149</v>
      </c>
      <c r="S88" s="103">
        <f t="shared" si="23"/>
        <v>106.426075427966</v>
      </c>
      <c r="T88" s="103"/>
      <c r="U88" s="103"/>
    </row>
    <row r="89" spans="1:21">
      <c r="A89" s="64">
        <v>73</v>
      </c>
      <c r="B89" s="64">
        <v>0</v>
      </c>
      <c r="C89" s="64">
        <v>0</v>
      </c>
      <c r="D89" s="103">
        <f t="shared" si="14"/>
        <v>0</v>
      </c>
      <c r="E89" s="117">
        <f t="shared" si="15"/>
        <v>0</v>
      </c>
      <c r="F89" s="103">
        <f t="shared" si="24"/>
        <v>-1.508939858170836</v>
      </c>
      <c r="G89" s="103">
        <f t="shared" si="16"/>
        <v>94.419870318395169</v>
      </c>
      <c r="H89" s="103">
        <f t="shared" si="17"/>
        <v>15.025440852704515</v>
      </c>
      <c r="I89" s="118">
        <f>E89/Steuerung!$D$4</f>
        <v>0</v>
      </c>
      <c r="J89" s="103">
        <f>F89/Steuerung!$D$2</f>
        <v>-0.50297995272361196</v>
      </c>
      <c r="K89" s="57">
        <f>60*H89/Steuerung!$D$1</f>
        <v>0.30050881705409027</v>
      </c>
      <c r="L89" s="103">
        <f t="shared" si="18"/>
        <v>0</v>
      </c>
      <c r="M89" s="57">
        <f t="shared" si="19"/>
        <v>0</v>
      </c>
      <c r="N89" s="57">
        <f t="shared" si="20"/>
        <v>0</v>
      </c>
      <c r="O89">
        <v>0</v>
      </c>
      <c r="P89" s="103">
        <f t="shared" si="13"/>
        <v>0</v>
      </c>
      <c r="Q89" s="103">
        <f t="shared" si="21"/>
        <v>94.419870318395169</v>
      </c>
      <c r="R89" s="103">
        <f t="shared" si="22"/>
        <v>-1.5089398581707982</v>
      </c>
      <c r="S89" s="103">
        <f t="shared" si="23"/>
        <v>94.41987031839534</v>
      </c>
      <c r="T89" s="103"/>
      <c r="U89" s="103"/>
    </row>
    <row r="90" spans="1:21">
      <c r="A90" s="64">
        <v>74</v>
      </c>
      <c r="B90" s="64">
        <v>0</v>
      </c>
      <c r="C90" s="64">
        <v>0</v>
      </c>
      <c r="D90" s="103">
        <f t="shared" si="14"/>
        <v>0</v>
      </c>
      <c r="E90" s="117">
        <f t="shared" si="15"/>
        <v>0</v>
      </c>
      <c r="F90" s="103">
        <f t="shared" si="24"/>
        <v>-1.3387123893634603</v>
      </c>
      <c r="G90" s="103">
        <f t="shared" si="16"/>
        <v>83.768116742937977</v>
      </c>
      <c r="H90" s="103">
        <f t="shared" si="17"/>
        <v>13.330381404032142</v>
      </c>
      <c r="I90" s="118">
        <f>E90/Steuerung!$D$4</f>
        <v>0</v>
      </c>
      <c r="J90" s="103">
        <f>F90/Steuerung!$D$2</f>
        <v>-0.44623746312115342</v>
      </c>
      <c r="K90" s="57">
        <f>60*H90/Steuerung!$D$1</f>
        <v>0.26660762808064281</v>
      </c>
      <c r="L90" s="103">
        <f t="shared" si="18"/>
        <v>0</v>
      </c>
      <c r="M90" s="57">
        <f t="shared" si="19"/>
        <v>0</v>
      </c>
      <c r="N90" s="57">
        <f t="shared" si="20"/>
        <v>0</v>
      </c>
      <c r="O90">
        <v>0</v>
      </c>
      <c r="P90" s="103">
        <f t="shared" si="13"/>
        <v>0</v>
      </c>
      <c r="Q90" s="103">
        <f t="shared" si="21"/>
        <v>83.768116742937977</v>
      </c>
      <c r="R90" s="103">
        <f t="shared" si="22"/>
        <v>-1.3387123893634225</v>
      </c>
      <c r="S90" s="103">
        <f t="shared" si="23"/>
        <v>83.768116742938119</v>
      </c>
      <c r="T90" s="103"/>
      <c r="U90" s="103"/>
    </row>
    <row r="91" spans="1:21">
      <c r="A91" s="64">
        <v>75</v>
      </c>
      <c r="B91" s="64">
        <v>0</v>
      </c>
      <c r="C91" s="64">
        <v>0</v>
      </c>
      <c r="D91" s="103">
        <f t="shared" si="14"/>
        <v>0</v>
      </c>
      <c r="E91" s="117">
        <f t="shared" si="15"/>
        <v>0</v>
      </c>
      <c r="F91" s="103">
        <f t="shared" si="24"/>
        <v>-1.1876887284346125</v>
      </c>
      <c r="G91" s="103">
        <f t="shared" si="16"/>
        <v>74.318015466405413</v>
      </c>
      <c r="H91" s="103">
        <f t="shared" si="17"/>
        <v>11.826546064036508</v>
      </c>
      <c r="I91" s="118">
        <f>E91/Steuerung!$D$4</f>
        <v>0</v>
      </c>
      <c r="J91" s="103">
        <f>F91/Steuerung!$D$2</f>
        <v>-0.39589624281153751</v>
      </c>
      <c r="K91" s="57">
        <f>60*H91/Steuerung!$D$1</f>
        <v>0.23653092128073017</v>
      </c>
      <c r="L91" s="103">
        <f t="shared" si="18"/>
        <v>0</v>
      </c>
      <c r="M91" s="57">
        <f t="shared" si="19"/>
        <v>0</v>
      </c>
      <c r="N91" s="57">
        <f t="shared" si="20"/>
        <v>0</v>
      </c>
      <c r="O91">
        <v>0</v>
      </c>
      <c r="P91" s="103">
        <f t="shared" si="13"/>
        <v>0</v>
      </c>
      <c r="Q91" s="103">
        <f t="shared" si="21"/>
        <v>74.318015466405413</v>
      </c>
      <c r="R91" s="103">
        <f t="shared" si="22"/>
        <v>-1.1876887284345798</v>
      </c>
      <c r="S91" s="103">
        <f t="shared" si="23"/>
        <v>74.318015466405541</v>
      </c>
      <c r="T91" s="103"/>
      <c r="U91" s="103"/>
    </row>
    <row r="92" spans="1:21">
      <c r="A92" s="64">
        <v>76</v>
      </c>
      <c r="B92" s="64">
        <v>0</v>
      </c>
      <c r="C92" s="64">
        <v>0</v>
      </c>
      <c r="D92" s="103">
        <f t="shared" si="14"/>
        <v>0</v>
      </c>
      <c r="E92" s="117">
        <f t="shared" si="15"/>
        <v>0</v>
      </c>
      <c r="F92" s="103">
        <f t="shared" si="24"/>
        <v>-1.0537024433764675</v>
      </c>
      <c r="G92" s="103">
        <f t="shared" si="16"/>
        <v>65.934004936675407</v>
      </c>
      <c r="H92" s="103">
        <f t="shared" si="17"/>
        <v>10.492362338745291</v>
      </c>
      <c r="I92" s="118">
        <f>E92/Steuerung!$D$4</f>
        <v>0</v>
      </c>
      <c r="J92" s="103">
        <f>F92/Steuerung!$D$2</f>
        <v>-0.35123414779215584</v>
      </c>
      <c r="K92" s="57">
        <f>60*H92/Steuerung!$D$1</f>
        <v>0.20984724677490582</v>
      </c>
      <c r="L92" s="103">
        <f t="shared" si="18"/>
        <v>0</v>
      </c>
      <c r="M92" s="57">
        <f t="shared" si="19"/>
        <v>0</v>
      </c>
      <c r="N92" s="57">
        <f t="shared" si="20"/>
        <v>0</v>
      </c>
      <c r="O92">
        <v>0</v>
      </c>
      <c r="P92" s="103">
        <f t="shared" si="13"/>
        <v>0</v>
      </c>
      <c r="Q92" s="103">
        <f t="shared" si="21"/>
        <v>65.934004936675407</v>
      </c>
      <c r="R92" s="103">
        <f t="shared" si="22"/>
        <v>-1.0537024433764302</v>
      </c>
      <c r="S92" s="103">
        <f t="shared" si="23"/>
        <v>65.934004936675535</v>
      </c>
      <c r="T92" s="103"/>
      <c r="U92" s="103"/>
    </row>
    <row r="93" spans="1:21">
      <c r="A93" s="64">
        <v>77</v>
      </c>
      <c r="B93" s="64">
        <v>0</v>
      </c>
      <c r="C93" s="64">
        <v>0</v>
      </c>
      <c r="D93" s="103">
        <f t="shared" si="14"/>
        <v>0</v>
      </c>
      <c r="E93" s="117">
        <f t="shared" si="15"/>
        <v>0</v>
      </c>
      <c r="F93" s="103">
        <f t="shared" si="24"/>
        <v>-0.93483150306638929</v>
      </c>
      <c r="G93" s="103">
        <f t="shared" si="16"/>
        <v>58.495816656389053</v>
      </c>
      <c r="H93" s="103">
        <f t="shared" si="17"/>
        <v>9.3086913838938656</v>
      </c>
      <c r="I93" s="118">
        <f>E93/Steuerung!$D$4</f>
        <v>0</v>
      </c>
      <c r="J93" s="103">
        <f>F93/Steuerung!$D$2</f>
        <v>-0.31161050102212978</v>
      </c>
      <c r="K93" s="57">
        <f>60*H93/Steuerung!$D$1</f>
        <v>0.18617382767787732</v>
      </c>
      <c r="L93" s="103">
        <f t="shared" si="18"/>
        <v>0</v>
      </c>
      <c r="M93" s="57">
        <f t="shared" si="19"/>
        <v>0</v>
      </c>
      <c r="N93" s="57">
        <f t="shared" si="20"/>
        <v>0</v>
      </c>
      <c r="O93">
        <v>0</v>
      </c>
      <c r="P93" s="103">
        <f t="shared" si="13"/>
        <v>0</v>
      </c>
      <c r="Q93" s="103">
        <f t="shared" si="21"/>
        <v>58.495816656389053</v>
      </c>
      <c r="R93" s="103">
        <f t="shared" si="22"/>
        <v>-0.93483150306636276</v>
      </c>
      <c r="S93" s="103">
        <f t="shared" si="23"/>
        <v>58.49581665638916</v>
      </c>
      <c r="T93" s="103"/>
      <c r="U93" s="103"/>
    </row>
    <row r="94" spans="1:21">
      <c r="A94" s="64">
        <v>78</v>
      </c>
      <c r="B94" s="64">
        <v>0</v>
      </c>
      <c r="C94" s="64">
        <v>0</v>
      </c>
      <c r="D94" s="103">
        <f t="shared" si="14"/>
        <v>0</v>
      </c>
      <c r="E94" s="117">
        <f t="shared" si="15"/>
        <v>0</v>
      </c>
      <c r="F94" s="103">
        <f t="shared" si="24"/>
        <v>-0.82937070576112693</v>
      </c>
      <c r="G94" s="103">
        <f t="shared" si="16"/>
        <v>51.896749933273782</v>
      </c>
      <c r="H94" s="103">
        <f t="shared" si="17"/>
        <v>8.2585534585095139</v>
      </c>
      <c r="I94" s="118">
        <f>E94/Steuerung!$D$4</f>
        <v>0</v>
      </c>
      <c r="J94" s="103">
        <f>F94/Steuerung!$D$2</f>
        <v>-0.27645690192037564</v>
      </c>
      <c r="K94" s="57">
        <f>60*H94/Steuerung!$D$1</f>
        <v>0.16517106917019028</v>
      </c>
      <c r="L94" s="103">
        <f t="shared" si="18"/>
        <v>0</v>
      </c>
      <c r="M94" s="57">
        <f t="shared" si="19"/>
        <v>0</v>
      </c>
      <c r="N94" s="57">
        <f t="shared" si="20"/>
        <v>0</v>
      </c>
      <c r="O94">
        <v>0</v>
      </c>
      <c r="P94" s="103">
        <f t="shared" si="13"/>
        <v>0</v>
      </c>
      <c r="Q94" s="103">
        <f t="shared" si="21"/>
        <v>51.896749933273782</v>
      </c>
      <c r="R94" s="103">
        <f t="shared" si="22"/>
        <v>-0.82937070576110017</v>
      </c>
      <c r="S94" s="103">
        <f t="shared" si="23"/>
        <v>51.896749933273881</v>
      </c>
      <c r="T94" s="103"/>
      <c r="U94" s="103"/>
    </row>
    <row r="95" spans="1:21">
      <c r="A95" s="64">
        <v>79</v>
      </c>
      <c r="B95" s="64">
        <v>0</v>
      </c>
      <c r="C95" s="64">
        <v>0</v>
      </c>
      <c r="D95" s="103">
        <f t="shared" si="14"/>
        <v>0</v>
      </c>
      <c r="E95" s="117">
        <f t="shared" si="15"/>
        <v>0</v>
      </c>
      <c r="F95" s="103">
        <f t="shared" si="24"/>
        <v>-0.73580721800499704</v>
      </c>
      <c r="G95" s="103">
        <f t="shared" si="16"/>
        <v>46.042141260414162</v>
      </c>
      <c r="H95" s="103">
        <f t="shared" si="17"/>
        <v>7.3268843507979255</v>
      </c>
      <c r="I95" s="118">
        <f>E95/Steuerung!$D$4</f>
        <v>0</v>
      </c>
      <c r="J95" s="103">
        <f>F95/Steuerung!$D$2</f>
        <v>-0.24526907266833234</v>
      </c>
      <c r="K95" s="57">
        <f>60*H95/Steuerung!$D$1</f>
        <v>0.14653768701595851</v>
      </c>
      <c r="L95" s="103">
        <f t="shared" si="18"/>
        <v>0</v>
      </c>
      <c r="M95" s="57">
        <f t="shared" si="19"/>
        <v>0</v>
      </c>
      <c r="N95" s="57">
        <f t="shared" si="20"/>
        <v>0</v>
      </c>
      <c r="O95">
        <v>0</v>
      </c>
      <c r="P95" s="103">
        <f t="shared" si="13"/>
        <v>0</v>
      </c>
      <c r="Q95" s="103">
        <f t="shared" si="21"/>
        <v>46.042141260414162</v>
      </c>
      <c r="R95" s="103">
        <f t="shared" si="22"/>
        <v>-0.73580721800497173</v>
      </c>
      <c r="S95" s="103">
        <f t="shared" si="23"/>
        <v>46.042141260414262</v>
      </c>
      <c r="T95" s="103"/>
      <c r="U95" s="103"/>
    </row>
    <row r="96" spans="1:21">
      <c r="A96" s="64">
        <v>80</v>
      </c>
      <c r="B96" s="64">
        <v>0</v>
      </c>
      <c r="C96" s="64">
        <v>0</v>
      </c>
      <c r="D96" s="103">
        <f t="shared" si="14"/>
        <v>0</v>
      </c>
      <c r="E96" s="117">
        <f t="shared" si="15"/>
        <v>0</v>
      </c>
      <c r="F96" s="103">
        <f t="shared" si="24"/>
        <v>-0.65279887305808615</v>
      </c>
      <c r="G96" s="103">
        <f t="shared" si="16"/>
        <v>40.848006369754657</v>
      </c>
      <c r="H96" s="103">
        <f t="shared" si="17"/>
        <v>6.5003192822652229</v>
      </c>
      <c r="I96" s="118">
        <f>E96/Steuerung!$D$4</f>
        <v>0</v>
      </c>
      <c r="J96" s="103">
        <f>F96/Steuerung!$D$2</f>
        <v>-0.21759962435269539</v>
      </c>
      <c r="K96" s="57">
        <f>60*H96/Steuerung!$D$1</f>
        <v>0.13000638564530445</v>
      </c>
      <c r="L96" s="103">
        <f t="shared" si="18"/>
        <v>0</v>
      </c>
      <c r="M96" s="57">
        <f t="shared" si="19"/>
        <v>0</v>
      </c>
      <c r="N96" s="57">
        <f t="shared" si="20"/>
        <v>0</v>
      </c>
      <c r="O96">
        <v>0</v>
      </c>
      <c r="P96" s="103">
        <f t="shared" si="13"/>
        <v>0</v>
      </c>
      <c r="Q96" s="103">
        <f t="shared" si="21"/>
        <v>40.848006369754657</v>
      </c>
      <c r="R96" s="103">
        <f t="shared" si="22"/>
        <v>-0.65279887305806028</v>
      </c>
      <c r="S96" s="103">
        <f t="shared" si="23"/>
        <v>40.848006369754764</v>
      </c>
      <c r="T96" s="103"/>
      <c r="U96" s="103"/>
    </row>
    <row r="97" spans="1:21">
      <c r="A97" s="64">
        <v>81</v>
      </c>
      <c r="B97" s="64">
        <v>0</v>
      </c>
      <c r="C97" s="64">
        <v>0</v>
      </c>
      <c r="D97" s="103">
        <f t="shared" si="14"/>
        <v>0</v>
      </c>
      <c r="E97" s="117">
        <f t="shared" si="15"/>
        <v>0</v>
      </c>
      <c r="F97" s="103">
        <f t="shared" si="24"/>
        <v>-0.57915491753576842</v>
      </c>
      <c r="G97" s="103">
        <f t="shared" si="16"/>
        <v>36.239835479113594</v>
      </c>
      <c r="H97" s="103">
        <f t="shared" si="17"/>
        <v>5.7670011901835769</v>
      </c>
      <c r="I97" s="118">
        <f>E97/Steuerung!$D$4</f>
        <v>0</v>
      </c>
      <c r="J97" s="103">
        <f>F97/Steuerung!$D$2</f>
        <v>-0.19305163917858947</v>
      </c>
      <c r="K97" s="57">
        <f>60*H97/Steuerung!$D$1</f>
        <v>0.11534002380367153</v>
      </c>
      <c r="L97" s="103">
        <f t="shared" si="18"/>
        <v>0</v>
      </c>
      <c r="M97" s="57">
        <f t="shared" si="19"/>
        <v>0</v>
      </c>
      <c r="N97" s="57">
        <f t="shared" si="20"/>
        <v>0</v>
      </c>
      <c r="O97">
        <v>0</v>
      </c>
      <c r="P97" s="103">
        <f t="shared" si="13"/>
        <v>0</v>
      </c>
      <c r="Q97" s="103">
        <f t="shared" si="21"/>
        <v>36.239835479113594</v>
      </c>
      <c r="R97" s="103">
        <f t="shared" si="22"/>
        <v>-0.57915491753574599</v>
      </c>
      <c r="S97" s="103">
        <f t="shared" si="23"/>
        <v>36.239835479113687</v>
      </c>
      <c r="T97" s="103"/>
      <c r="U97" s="103"/>
    </row>
    <row r="98" spans="1:21">
      <c r="A98" s="64">
        <v>82</v>
      </c>
      <c r="B98" s="64">
        <v>0</v>
      </c>
      <c r="C98" s="64">
        <v>0</v>
      </c>
      <c r="D98" s="103">
        <f t="shared" si="14"/>
        <v>0</v>
      </c>
      <c r="E98" s="117">
        <f t="shared" si="15"/>
        <v>0</v>
      </c>
      <c r="F98" s="103">
        <f t="shared" si="24"/>
        <v>-0.51381893007039081</v>
      </c>
      <c r="G98" s="103">
        <f t="shared" si="16"/>
        <v>32.151524450545878</v>
      </c>
      <c r="H98" s="103">
        <f t="shared" si="17"/>
        <v>5.1164106382154486</v>
      </c>
      <c r="I98" s="118">
        <f>E98/Steuerung!$D$4</f>
        <v>0</v>
      </c>
      <c r="J98" s="103">
        <f>F98/Steuerung!$D$2</f>
        <v>-0.17127297669013028</v>
      </c>
      <c r="K98" s="57">
        <f>60*H98/Steuerung!$D$1</f>
        <v>0.10232821276430897</v>
      </c>
      <c r="L98" s="103">
        <f t="shared" si="18"/>
        <v>0</v>
      </c>
      <c r="M98" s="57">
        <f t="shared" si="19"/>
        <v>0</v>
      </c>
      <c r="N98" s="57">
        <f t="shared" si="20"/>
        <v>0</v>
      </c>
      <c r="O98">
        <v>0</v>
      </c>
      <c r="P98" s="103">
        <f t="shared" si="13"/>
        <v>0</v>
      </c>
      <c r="Q98" s="103">
        <f t="shared" si="21"/>
        <v>32.151524450545878</v>
      </c>
      <c r="R98" s="103">
        <f t="shared" si="22"/>
        <v>-0.51381893007036794</v>
      </c>
      <c r="S98" s="103">
        <f t="shared" si="23"/>
        <v>32.151524450545963</v>
      </c>
      <c r="T98" s="103"/>
      <c r="U98" s="103"/>
    </row>
    <row r="99" spans="1:21">
      <c r="A99" s="64">
        <v>83</v>
      </c>
      <c r="B99" s="64">
        <v>0</v>
      </c>
      <c r="C99" s="64">
        <v>0</v>
      </c>
      <c r="D99" s="103">
        <f t="shared" si="14"/>
        <v>0</v>
      </c>
      <c r="E99" s="117">
        <f t="shared" si="15"/>
        <v>0</v>
      </c>
      <c r="F99" s="103">
        <f t="shared" si="24"/>
        <v>-0.45585366696359969</v>
      </c>
      <c r="G99" s="103">
        <f t="shared" si="16"/>
        <v>28.524426527538242</v>
      </c>
      <c r="H99" s="103">
        <f t="shared" si="17"/>
        <v>4.539214915267066</v>
      </c>
      <c r="I99" s="118">
        <f>E99/Steuerung!$D$4</f>
        <v>0</v>
      </c>
      <c r="J99" s="103">
        <f>F99/Steuerung!$D$2</f>
        <v>-0.1519512223211999</v>
      </c>
      <c r="K99" s="57">
        <f>60*H99/Steuerung!$D$1</f>
        <v>9.0784298305341321E-2</v>
      </c>
      <c r="L99" s="103">
        <f t="shared" si="18"/>
        <v>0</v>
      </c>
      <c r="M99" s="57">
        <f t="shared" si="19"/>
        <v>0</v>
      </c>
      <c r="N99" s="57">
        <f t="shared" si="20"/>
        <v>0</v>
      </c>
      <c r="O99">
        <v>0</v>
      </c>
      <c r="P99" s="103">
        <f t="shared" si="13"/>
        <v>0</v>
      </c>
      <c r="Q99" s="103">
        <f t="shared" si="21"/>
        <v>28.524426527538242</v>
      </c>
      <c r="R99" s="103">
        <f t="shared" si="22"/>
        <v>-0.45585366696358065</v>
      </c>
      <c r="S99" s="103">
        <f t="shared" si="23"/>
        <v>28.524426527538317</v>
      </c>
      <c r="T99" s="103"/>
      <c r="U99" s="103"/>
    </row>
    <row r="100" spans="1:21">
      <c r="A100" s="64">
        <v>84</v>
      </c>
      <c r="B100" s="64">
        <v>0</v>
      </c>
      <c r="C100" s="64">
        <v>0</v>
      </c>
      <c r="D100" s="103">
        <f t="shared" si="14"/>
        <v>0</v>
      </c>
      <c r="E100" s="117">
        <f t="shared" si="15"/>
        <v>0</v>
      </c>
      <c r="F100" s="103">
        <f t="shared" si="24"/>
        <v>-0.40442761744043271</v>
      </c>
      <c r="G100" s="103">
        <f t="shared" si="16"/>
        <v>25.306511048222259</v>
      </c>
      <c r="H100" s="103">
        <f t="shared" si="17"/>
        <v>4.0271341578966036</v>
      </c>
      <c r="I100" s="118">
        <f>E100/Steuerung!$D$4</f>
        <v>0</v>
      </c>
      <c r="J100" s="103">
        <f>F100/Steuerung!$D$2</f>
        <v>-0.13480920581347758</v>
      </c>
      <c r="K100" s="57">
        <f>60*H100/Steuerung!$D$1</f>
        <v>8.0542683157932074E-2</v>
      </c>
      <c r="L100" s="103">
        <f t="shared" si="18"/>
        <v>0</v>
      </c>
      <c r="M100" s="57">
        <f t="shared" si="19"/>
        <v>0</v>
      </c>
      <c r="N100" s="57">
        <f t="shared" si="20"/>
        <v>0</v>
      </c>
      <c r="O100">
        <v>0</v>
      </c>
      <c r="P100" s="103">
        <f t="shared" si="13"/>
        <v>0</v>
      </c>
      <c r="Q100" s="103">
        <f t="shared" si="21"/>
        <v>25.306511048222259</v>
      </c>
      <c r="R100" s="103">
        <f t="shared" si="22"/>
        <v>-0.40442761744041711</v>
      </c>
      <c r="S100" s="103">
        <f t="shared" si="23"/>
        <v>25.306511048222326</v>
      </c>
      <c r="T100" s="103"/>
      <c r="U100" s="103"/>
    </row>
    <row r="101" spans="1:21">
      <c r="A101" s="64">
        <v>85</v>
      </c>
      <c r="B101" s="64">
        <v>0</v>
      </c>
      <c r="C101" s="64">
        <v>0</v>
      </c>
      <c r="D101" s="103">
        <f t="shared" si="14"/>
        <v>0</v>
      </c>
      <c r="E101" s="117">
        <f t="shared" si="15"/>
        <v>0</v>
      </c>
      <c r="F101" s="103">
        <f t="shared" si="24"/>
        <v>-0.35880307564051145</v>
      </c>
      <c r="G101" s="103">
        <f t="shared" si="16"/>
        <v>22.4516170663595</v>
      </c>
      <c r="H101" s="103">
        <f t="shared" si="17"/>
        <v>3.57282257580514</v>
      </c>
      <c r="I101" s="118">
        <f>E101/Steuerung!$D$4</f>
        <v>0</v>
      </c>
      <c r="J101" s="103">
        <f>F101/Steuerung!$D$2</f>
        <v>-0.11960102521350381</v>
      </c>
      <c r="K101" s="57">
        <f>60*H101/Steuerung!$D$1</f>
        <v>7.1456451516102804E-2</v>
      </c>
      <c r="L101" s="103">
        <f t="shared" si="18"/>
        <v>0</v>
      </c>
      <c r="M101" s="57">
        <f t="shared" si="19"/>
        <v>0</v>
      </c>
      <c r="N101" s="57">
        <f t="shared" si="20"/>
        <v>0</v>
      </c>
      <c r="O101">
        <v>0</v>
      </c>
      <c r="P101" s="103">
        <f t="shared" si="13"/>
        <v>0</v>
      </c>
      <c r="Q101" s="103">
        <f t="shared" si="21"/>
        <v>22.4516170663595</v>
      </c>
      <c r="R101" s="103">
        <f t="shared" si="22"/>
        <v>-0.35880307564049474</v>
      </c>
      <c r="S101" s="103">
        <f t="shared" si="23"/>
        <v>22.451617066359564</v>
      </c>
      <c r="T101" s="103"/>
      <c r="U101" s="103"/>
    </row>
    <row r="102" spans="1:21">
      <c r="A102" s="64">
        <v>86</v>
      </c>
      <c r="B102" s="64">
        <v>0</v>
      </c>
      <c r="C102" s="64">
        <v>0</v>
      </c>
      <c r="D102" s="103">
        <f t="shared" si="14"/>
        <v>0</v>
      </c>
      <c r="E102" s="117">
        <f t="shared" si="15"/>
        <v>0</v>
      </c>
      <c r="F102" s="103">
        <f t="shared" si="24"/>
        <v>-0.31832555823923764</v>
      </c>
      <c r="G102" s="103">
        <f t="shared" si="16"/>
        <v>19.918791173303823</v>
      </c>
      <c r="H102" s="103">
        <f t="shared" si="17"/>
        <v>3.1697630765919516</v>
      </c>
      <c r="I102" s="118">
        <f>E102/Steuerung!$D$4</f>
        <v>0</v>
      </c>
      <c r="J102" s="103">
        <f>F102/Steuerung!$D$2</f>
        <v>-0.10610851941307921</v>
      </c>
      <c r="K102" s="57">
        <f>60*H102/Steuerung!$D$1</f>
        <v>6.3395261531839039E-2</v>
      </c>
      <c r="L102" s="103">
        <f t="shared" si="18"/>
        <v>0</v>
      </c>
      <c r="M102" s="57">
        <f t="shared" si="19"/>
        <v>0</v>
      </c>
      <c r="N102" s="57">
        <f t="shared" si="20"/>
        <v>0</v>
      </c>
      <c r="O102">
        <v>0</v>
      </c>
      <c r="P102" s="103">
        <f t="shared" si="13"/>
        <v>0</v>
      </c>
      <c r="Q102" s="103">
        <f t="shared" si="21"/>
        <v>19.918791173303823</v>
      </c>
      <c r="R102" s="103">
        <f t="shared" si="22"/>
        <v>-0.31832555823922348</v>
      </c>
      <c r="S102" s="103">
        <f t="shared" si="23"/>
        <v>19.91879117330388</v>
      </c>
      <c r="T102" s="103"/>
      <c r="U102" s="103"/>
    </row>
    <row r="103" spans="1:21">
      <c r="A103" s="64">
        <v>87</v>
      </c>
      <c r="B103" s="64">
        <v>0</v>
      </c>
      <c r="C103" s="64">
        <v>0</v>
      </c>
      <c r="D103" s="103">
        <f t="shared" si="14"/>
        <v>0</v>
      </c>
      <c r="E103" s="117">
        <f t="shared" si="15"/>
        <v>0</v>
      </c>
      <c r="F103" s="103">
        <f t="shared" si="24"/>
        <v>-0.28241441589493799</v>
      </c>
      <c r="G103" s="103">
        <f t="shared" si="16"/>
        <v>17.671700022007371</v>
      </c>
      <c r="H103" s="103">
        <f t="shared" si="17"/>
        <v>2.8121737781679457</v>
      </c>
      <c r="I103" s="118">
        <f>E103/Steuerung!$D$4</f>
        <v>0</v>
      </c>
      <c r="J103" s="103">
        <f>F103/Steuerung!$D$2</f>
        <v>-9.4138138631645996E-2</v>
      </c>
      <c r="K103" s="57">
        <f>60*H103/Steuerung!$D$1</f>
        <v>5.6243475563358916E-2</v>
      </c>
      <c r="L103" s="103">
        <f t="shared" si="18"/>
        <v>0</v>
      </c>
      <c r="M103" s="57">
        <f t="shared" si="19"/>
        <v>0</v>
      </c>
      <c r="N103" s="57">
        <f t="shared" si="20"/>
        <v>0</v>
      </c>
      <c r="O103">
        <v>0</v>
      </c>
      <c r="P103" s="103">
        <f t="shared" si="13"/>
        <v>0</v>
      </c>
      <c r="Q103" s="103">
        <f t="shared" si="21"/>
        <v>17.671700022007371</v>
      </c>
      <c r="R103" s="103">
        <f t="shared" si="22"/>
        <v>-0.28241441589492311</v>
      </c>
      <c r="S103" s="103">
        <f t="shared" si="23"/>
        <v>17.671700022007428</v>
      </c>
      <c r="T103" s="103"/>
      <c r="U103" s="103"/>
    </row>
    <row r="104" spans="1:21">
      <c r="A104" s="64">
        <v>88</v>
      </c>
      <c r="B104" s="64">
        <v>0</v>
      </c>
      <c r="C104" s="64">
        <v>0</v>
      </c>
      <c r="D104" s="103">
        <f t="shared" si="14"/>
        <v>0</v>
      </c>
      <c r="E104" s="117">
        <f t="shared" si="15"/>
        <v>0</v>
      </c>
      <c r="F104" s="103">
        <f t="shared" si="24"/>
        <v>-0.25055450384331662</v>
      </c>
      <c r="G104" s="103">
        <f t="shared" si="16"/>
        <v>15.678109125736551</v>
      </c>
      <c r="H104" s="103">
        <f t="shared" si="17"/>
        <v>2.4949250677492922</v>
      </c>
      <c r="I104" s="118">
        <f>E104/Steuerung!$D$4</f>
        <v>0</v>
      </c>
      <c r="J104" s="103">
        <f>F104/Steuerung!$D$2</f>
        <v>-8.3518167947772212E-2</v>
      </c>
      <c r="K104" s="57">
        <f>60*H104/Steuerung!$D$1</f>
        <v>4.9898501354985844E-2</v>
      </c>
      <c r="L104" s="103">
        <f t="shared" si="18"/>
        <v>0</v>
      </c>
      <c r="M104" s="57">
        <f t="shared" si="19"/>
        <v>0</v>
      </c>
      <c r="N104" s="57">
        <f t="shared" si="20"/>
        <v>0</v>
      </c>
      <c r="O104">
        <v>0</v>
      </c>
      <c r="P104" s="103">
        <f t="shared" si="13"/>
        <v>0</v>
      </c>
      <c r="Q104" s="103">
        <f t="shared" si="21"/>
        <v>15.678109125736551</v>
      </c>
      <c r="R104" s="103">
        <f t="shared" si="22"/>
        <v>-0.25055450384330413</v>
      </c>
      <c r="S104" s="103">
        <f t="shared" si="23"/>
        <v>15.678109125736599</v>
      </c>
      <c r="T104" s="103"/>
      <c r="U104" s="103"/>
    </row>
    <row r="105" spans="1:21">
      <c r="A105" s="64">
        <v>89</v>
      </c>
      <c r="B105" s="64">
        <v>0</v>
      </c>
      <c r="C105" s="64">
        <v>0</v>
      </c>
      <c r="D105" s="103">
        <f t="shared" si="14"/>
        <v>0</v>
      </c>
      <c r="E105" s="117">
        <f t="shared" si="15"/>
        <v>0</v>
      </c>
      <c r="F105" s="103">
        <f t="shared" si="24"/>
        <v>-0.22228879215402617</v>
      </c>
      <c r="G105" s="103">
        <f t="shared" si="16"/>
        <v>13.909420454873835</v>
      </c>
      <c r="H105" s="103">
        <f t="shared" si="17"/>
        <v>2.2134660176438312</v>
      </c>
      <c r="I105" s="118">
        <f>E105/Steuerung!$D$4</f>
        <v>0</v>
      </c>
      <c r="J105" s="103">
        <f>F105/Steuerung!$D$2</f>
        <v>-7.4096264051342051E-2</v>
      </c>
      <c r="K105" s="57">
        <f>60*H105/Steuerung!$D$1</f>
        <v>4.4269320352876625E-2</v>
      </c>
      <c r="L105" s="103">
        <f t="shared" si="18"/>
        <v>0</v>
      </c>
      <c r="M105" s="57">
        <f t="shared" si="19"/>
        <v>0</v>
      </c>
      <c r="N105" s="57">
        <f t="shared" si="20"/>
        <v>0</v>
      </c>
      <c r="O105">
        <v>0</v>
      </c>
      <c r="P105" s="103">
        <f t="shared" si="13"/>
        <v>0</v>
      </c>
      <c r="Q105" s="103">
        <f t="shared" si="21"/>
        <v>13.909420454873835</v>
      </c>
      <c r="R105" s="103">
        <f t="shared" si="22"/>
        <v>-0.2222887921540142</v>
      </c>
      <c r="S105" s="103">
        <f t="shared" si="23"/>
        <v>13.90942045487388</v>
      </c>
      <c r="T105" s="103"/>
      <c r="U105" s="103"/>
    </row>
    <row r="106" spans="1:21">
      <c r="A106" s="64">
        <v>90</v>
      </c>
      <c r="B106" s="64">
        <v>0</v>
      </c>
      <c r="C106" s="64">
        <v>0</v>
      </c>
      <c r="D106" s="103">
        <f t="shared" si="14"/>
        <v>0</v>
      </c>
      <c r="E106" s="117">
        <f t="shared" si="15"/>
        <v>0</v>
      </c>
      <c r="F106" s="103">
        <f t="shared" si="24"/>
        <v>-0.19721180964360416</v>
      </c>
      <c r="G106" s="103">
        <f t="shared" si="16"/>
        <v>12.34026219863892</v>
      </c>
      <c r="H106" s="103">
        <f t="shared" si="17"/>
        <v>1.9637591022659007</v>
      </c>
      <c r="I106" s="118">
        <f>E106/Steuerung!$D$4</f>
        <v>0</v>
      </c>
      <c r="J106" s="103">
        <f>F106/Steuerung!$D$2</f>
        <v>-6.5737269881201391E-2</v>
      </c>
      <c r="K106" s="57">
        <f>60*H106/Steuerung!$D$1</f>
        <v>3.9275182045318012E-2</v>
      </c>
      <c r="L106" s="103">
        <f t="shared" si="18"/>
        <v>0</v>
      </c>
      <c r="M106" s="57">
        <f t="shared" si="19"/>
        <v>0</v>
      </c>
      <c r="N106" s="57">
        <f t="shared" si="20"/>
        <v>0</v>
      </c>
      <c r="O106">
        <v>0</v>
      </c>
      <c r="P106" s="103">
        <f t="shared" si="13"/>
        <v>0</v>
      </c>
      <c r="Q106" s="103">
        <f t="shared" si="21"/>
        <v>12.34026219863892</v>
      </c>
      <c r="R106" s="103">
        <f t="shared" si="22"/>
        <v>-0.19721180964359419</v>
      </c>
      <c r="S106" s="103">
        <f t="shared" si="23"/>
        <v>12.340262198638959</v>
      </c>
      <c r="T106" s="103"/>
      <c r="U106" s="103"/>
    </row>
    <row r="107" spans="1:21">
      <c r="A107" s="64">
        <v>91</v>
      </c>
      <c r="B107" s="64">
        <v>0</v>
      </c>
      <c r="C107" s="64">
        <v>0</v>
      </c>
      <c r="D107" s="103">
        <f t="shared" si="14"/>
        <v>0</v>
      </c>
      <c r="E107" s="117">
        <f t="shared" si="15"/>
        <v>0</v>
      </c>
      <c r="F107" s="103">
        <f t="shared" si="24"/>
        <v>-0.17496382739781211</v>
      </c>
      <c r="G107" s="103">
        <f t="shared" si="16"/>
        <v>10.948124806867659</v>
      </c>
      <c r="H107" s="103">
        <f t="shared" si="17"/>
        <v>1.7422222798961902</v>
      </c>
      <c r="I107" s="118">
        <f>E107/Steuerung!$D$4</f>
        <v>0</v>
      </c>
      <c r="J107" s="103">
        <f>F107/Steuerung!$D$2</f>
        <v>-5.8321275799270704E-2</v>
      </c>
      <c r="K107" s="57">
        <f>60*H107/Steuerung!$D$1</f>
        <v>3.4844445597923802E-2</v>
      </c>
      <c r="L107" s="103">
        <f t="shared" si="18"/>
        <v>0</v>
      </c>
      <c r="M107" s="57">
        <f t="shared" si="19"/>
        <v>0</v>
      </c>
      <c r="N107" s="57">
        <f t="shared" si="20"/>
        <v>0</v>
      </c>
      <c r="O107">
        <v>0</v>
      </c>
      <c r="P107" s="103">
        <f t="shared" si="13"/>
        <v>0</v>
      </c>
      <c r="Q107" s="103">
        <f t="shared" si="21"/>
        <v>10.948124806867659</v>
      </c>
      <c r="R107" s="103">
        <f t="shared" si="22"/>
        <v>-0.17496382739780447</v>
      </c>
      <c r="S107" s="103">
        <f t="shared" si="23"/>
        <v>10.948124806867689</v>
      </c>
      <c r="T107" s="103"/>
      <c r="U107" s="103"/>
    </row>
    <row r="108" spans="1:21">
      <c r="A108" s="64">
        <v>92</v>
      </c>
      <c r="B108" s="64">
        <v>0</v>
      </c>
      <c r="C108" s="64">
        <v>0</v>
      </c>
      <c r="D108" s="103">
        <f t="shared" si="14"/>
        <v>0</v>
      </c>
      <c r="E108" s="117">
        <f t="shared" si="15"/>
        <v>0</v>
      </c>
      <c r="F108" s="103">
        <f t="shared" si="24"/>
        <v>-0.15522569846609682</v>
      </c>
      <c r="G108" s="103">
        <f t="shared" si="16"/>
        <v>9.7130380908738907</v>
      </c>
      <c r="H108" s="103">
        <f t="shared" si="17"/>
        <v>1.5456776083503965</v>
      </c>
      <c r="I108" s="118">
        <f>E108/Steuerung!$D$4</f>
        <v>0</v>
      </c>
      <c r="J108" s="103">
        <f>F108/Steuerung!$D$2</f>
        <v>-5.1741899488698943E-2</v>
      </c>
      <c r="K108" s="57">
        <f>60*H108/Steuerung!$D$1</f>
        <v>3.0913552167007932E-2</v>
      </c>
      <c r="L108" s="103">
        <f t="shared" si="18"/>
        <v>0</v>
      </c>
      <c r="M108" s="57">
        <f t="shared" si="19"/>
        <v>0</v>
      </c>
      <c r="N108" s="57">
        <f t="shared" si="20"/>
        <v>0</v>
      </c>
      <c r="O108">
        <v>0</v>
      </c>
      <c r="P108" s="103">
        <f t="shared" si="13"/>
        <v>0</v>
      </c>
      <c r="Q108" s="103">
        <f t="shared" si="21"/>
        <v>9.7130380908738907</v>
      </c>
      <c r="R108" s="103">
        <f t="shared" si="22"/>
        <v>-0.15522569846609091</v>
      </c>
      <c r="S108" s="103">
        <f t="shared" si="23"/>
        <v>9.7130380908739156</v>
      </c>
      <c r="T108" s="103"/>
      <c r="U108" s="103"/>
    </row>
    <row r="109" spans="1:21">
      <c r="A109" s="64">
        <v>93</v>
      </c>
      <c r="B109" s="64">
        <v>0</v>
      </c>
      <c r="C109" s="64">
        <v>0</v>
      </c>
      <c r="D109" s="103">
        <f t="shared" si="14"/>
        <v>0</v>
      </c>
      <c r="E109" s="117">
        <f t="shared" si="15"/>
        <v>0</v>
      </c>
      <c r="F109" s="103">
        <f t="shared" si="24"/>
        <v>-0.13771427970367389</v>
      </c>
      <c r="G109" s="103">
        <f t="shared" si="16"/>
        <v>8.6172847514111766</v>
      </c>
      <c r="H109" s="103">
        <f t="shared" si="17"/>
        <v>1.3713056574492644</v>
      </c>
      <c r="I109" s="118">
        <f>E109/Steuerung!$D$4</f>
        <v>0</v>
      </c>
      <c r="J109" s="103">
        <f>F109/Steuerung!$D$2</f>
        <v>-4.5904759901224633E-2</v>
      </c>
      <c r="K109" s="57">
        <f>60*H109/Steuerung!$D$1</f>
        <v>2.7426113148985288E-2</v>
      </c>
      <c r="L109" s="103">
        <f t="shared" si="18"/>
        <v>0</v>
      </c>
      <c r="M109" s="57">
        <f t="shared" si="19"/>
        <v>0</v>
      </c>
      <c r="N109" s="57">
        <f t="shared" si="20"/>
        <v>0</v>
      </c>
      <c r="O109">
        <v>0</v>
      </c>
      <c r="P109" s="103">
        <f t="shared" si="13"/>
        <v>0</v>
      </c>
      <c r="Q109" s="103">
        <f t="shared" si="21"/>
        <v>8.6172847514111766</v>
      </c>
      <c r="R109" s="103">
        <f t="shared" si="22"/>
        <v>-0.13771427970366812</v>
      </c>
      <c r="S109" s="103">
        <f t="shared" si="23"/>
        <v>8.6172847514111997</v>
      </c>
      <c r="T109" s="103"/>
      <c r="U109" s="103"/>
    </row>
    <row r="110" spans="1:21">
      <c r="A110" s="64">
        <v>94</v>
      </c>
      <c r="B110" s="64">
        <v>0</v>
      </c>
      <c r="C110" s="64">
        <v>0</v>
      </c>
      <c r="D110" s="103">
        <f t="shared" si="14"/>
        <v>0</v>
      </c>
      <c r="E110" s="117">
        <f t="shared" si="15"/>
        <v>0</v>
      </c>
      <c r="F110" s="103">
        <f t="shared" si="24"/>
        <v>-0.12217837008763055</v>
      </c>
      <c r="G110" s="103">
        <f t="shared" si="16"/>
        <v>7.6451462242976298</v>
      </c>
      <c r="H110" s="103">
        <f t="shared" si="17"/>
        <v>1.2166050643376241</v>
      </c>
      <c r="I110" s="118">
        <f>E110/Steuerung!$D$4</f>
        <v>0</v>
      </c>
      <c r="J110" s="103">
        <f>F110/Steuerung!$D$2</f>
        <v>-4.0726123362543519E-2</v>
      </c>
      <c r="K110" s="57">
        <f>60*H110/Steuerung!$D$1</f>
        <v>2.4332101286752481E-2</v>
      </c>
      <c r="L110" s="103">
        <f t="shared" si="18"/>
        <v>0</v>
      </c>
      <c r="M110" s="57">
        <f t="shared" si="19"/>
        <v>0</v>
      </c>
      <c r="N110" s="57">
        <f t="shared" si="20"/>
        <v>0</v>
      </c>
      <c r="O110">
        <v>0</v>
      </c>
      <c r="P110" s="103">
        <f t="shared" si="13"/>
        <v>0</v>
      </c>
      <c r="Q110" s="103">
        <f t="shared" si="21"/>
        <v>7.6451462242976298</v>
      </c>
      <c r="R110" s="103">
        <f t="shared" si="22"/>
        <v>-0.12217837008762533</v>
      </c>
      <c r="S110" s="103">
        <f t="shared" si="23"/>
        <v>7.6451462242976493</v>
      </c>
      <c r="T110" s="103"/>
      <c r="U110" s="103"/>
    </row>
    <row r="111" spans="1:21">
      <c r="A111" s="64">
        <v>95</v>
      </c>
      <c r="B111" s="64">
        <v>0</v>
      </c>
      <c r="C111" s="64">
        <v>0</v>
      </c>
      <c r="D111" s="103">
        <f t="shared" si="14"/>
        <v>0</v>
      </c>
      <c r="E111" s="117">
        <f t="shared" si="15"/>
        <v>0</v>
      </c>
      <c r="F111" s="103">
        <f t="shared" si="24"/>
        <v>-0.10839510724225779</v>
      </c>
      <c r="G111" s="103">
        <f t="shared" si="16"/>
        <v>6.7826771978633698</v>
      </c>
      <c r="H111" s="103">
        <f t="shared" si="17"/>
        <v>1.07935665147412</v>
      </c>
      <c r="I111" s="118">
        <f>E111/Steuerung!$D$4</f>
        <v>0</v>
      </c>
      <c r="J111" s="103">
        <f>F111/Steuerung!$D$2</f>
        <v>-3.6131702414085927E-2</v>
      </c>
      <c r="K111" s="57">
        <f>60*H111/Steuerung!$D$1</f>
        <v>2.1587133029482397E-2</v>
      </c>
      <c r="L111" s="103">
        <f t="shared" si="18"/>
        <v>0</v>
      </c>
      <c r="M111" s="57">
        <f t="shared" si="19"/>
        <v>0</v>
      </c>
      <c r="N111" s="57">
        <f t="shared" si="20"/>
        <v>0</v>
      </c>
      <c r="O111">
        <v>0</v>
      </c>
      <c r="P111" s="103">
        <f t="shared" si="13"/>
        <v>0</v>
      </c>
      <c r="Q111" s="103">
        <f t="shared" si="21"/>
        <v>6.7826771978633698</v>
      </c>
      <c r="R111" s="103">
        <f t="shared" si="22"/>
        <v>-0.1083951072422531</v>
      </c>
      <c r="S111" s="103">
        <f t="shared" si="23"/>
        <v>6.7826771978633875</v>
      </c>
      <c r="T111" s="103"/>
      <c r="U111" s="103"/>
    </row>
    <row r="112" spans="1:21">
      <c r="A112" s="64">
        <v>96</v>
      </c>
      <c r="B112" s="64">
        <v>0</v>
      </c>
      <c r="C112" s="64">
        <v>0</v>
      </c>
      <c r="D112" s="103">
        <f t="shared" si="14"/>
        <v>0</v>
      </c>
      <c r="E112" s="117">
        <f t="shared" si="15"/>
        <v>0</v>
      </c>
      <c r="F112" s="103">
        <f t="shared" si="24"/>
        <v>-9.6166770481824398E-2</v>
      </c>
      <c r="G112" s="103">
        <f t="shared" si="16"/>
        <v>6.0175055676769889</v>
      </c>
      <c r="H112" s="103">
        <f t="shared" si="17"/>
        <v>0.95759159256476589</v>
      </c>
      <c r="I112" s="118">
        <f>E112/Steuerung!$D$4</f>
        <v>0</v>
      </c>
      <c r="J112" s="103">
        <f>F112/Steuerung!$D$2</f>
        <v>-3.2055590160608133E-2</v>
      </c>
      <c r="K112" s="57">
        <f>60*H112/Steuerung!$D$1</f>
        <v>1.9151831851295317E-2</v>
      </c>
      <c r="L112" s="103">
        <f t="shared" si="18"/>
        <v>0</v>
      </c>
      <c r="M112" s="57">
        <f t="shared" si="19"/>
        <v>0</v>
      </c>
      <c r="N112" s="57">
        <f t="shared" si="20"/>
        <v>0</v>
      </c>
      <c r="O112">
        <v>0</v>
      </c>
      <c r="P112" s="103">
        <f t="shared" si="13"/>
        <v>0</v>
      </c>
      <c r="Q112" s="103">
        <f t="shared" si="21"/>
        <v>6.0175055676769889</v>
      </c>
      <c r="R112" s="103">
        <f t="shared" si="22"/>
        <v>-9.6166770481820318E-2</v>
      </c>
      <c r="S112" s="103">
        <f t="shared" si="23"/>
        <v>6.0175055676770048</v>
      </c>
      <c r="T112" s="103"/>
      <c r="U112" s="103"/>
    </row>
    <row r="113" spans="1:21">
      <c r="A113" s="64">
        <v>97</v>
      </c>
      <c r="B113" s="64">
        <v>0</v>
      </c>
      <c r="C113" s="64">
        <v>0</v>
      </c>
      <c r="D113" s="103">
        <f t="shared" si="14"/>
        <v>0</v>
      </c>
      <c r="E113" s="117">
        <f t="shared" si="15"/>
        <v>0</v>
      </c>
      <c r="F113" s="103">
        <f t="shared" si="24"/>
        <v>-8.5317944510493016E-2</v>
      </c>
      <c r="G113" s="103">
        <f t="shared" si="16"/>
        <v>5.3386549589047654</v>
      </c>
      <c r="H113" s="103">
        <f t="shared" si="17"/>
        <v>0.84956316978115298</v>
      </c>
      <c r="I113" s="118">
        <f>E113/Steuerung!$D$4</f>
        <v>0</v>
      </c>
      <c r="J113" s="103">
        <f>F113/Steuerung!$D$2</f>
        <v>-2.8439314836831004E-2</v>
      </c>
      <c r="K113" s="57">
        <f>60*H113/Steuerung!$D$1</f>
        <v>1.6991263395623062E-2</v>
      </c>
      <c r="L113" s="103">
        <f t="shared" si="18"/>
        <v>0</v>
      </c>
      <c r="M113" s="57">
        <f t="shared" si="19"/>
        <v>0</v>
      </c>
      <c r="N113" s="57">
        <f t="shared" si="20"/>
        <v>0</v>
      </c>
      <c r="O113">
        <v>0</v>
      </c>
      <c r="P113" s="103">
        <f t="shared" si="13"/>
        <v>0</v>
      </c>
      <c r="Q113" s="103">
        <f t="shared" si="21"/>
        <v>5.3386549589047654</v>
      </c>
      <c r="R113" s="103">
        <f t="shared" si="22"/>
        <v>-8.5317944510489685E-2</v>
      </c>
      <c r="S113" s="103">
        <f t="shared" si="23"/>
        <v>5.3386549589047778</v>
      </c>
      <c r="T113" s="103"/>
      <c r="U113" s="103"/>
    </row>
    <row r="114" spans="1:21">
      <c r="A114" s="64">
        <v>98</v>
      </c>
      <c r="B114" s="64">
        <v>0</v>
      </c>
      <c r="C114" s="64">
        <v>0</v>
      </c>
      <c r="D114" s="103">
        <f t="shared" si="14"/>
        <v>0</v>
      </c>
      <c r="E114" s="117">
        <f t="shared" si="15"/>
        <v>0</v>
      </c>
      <c r="F114" s="103">
        <f t="shared" si="24"/>
        <v>-7.5693003092698566E-2</v>
      </c>
      <c r="G114" s="103">
        <f t="shared" si="16"/>
        <v>4.736387270388704</v>
      </c>
      <c r="H114" s="103">
        <f t="shared" si="17"/>
        <v>0.75372171712105418</v>
      </c>
      <c r="I114" s="118">
        <f>E114/Steuerung!$D$4</f>
        <v>0</v>
      </c>
      <c r="J114" s="103">
        <f>F114/Steuerung!$D$2</f>
        <v>-2.5231001030899522E-2</v>
      </c>
      <c r="K114" s="57">
        <f>60*H114/Steuerung!$D$1</f>
        <v>1.5074434342421082E-2</v>
      </c>
      <c r="L114" s="103">
        <f t="shared" si="18"/>
        <v>0</v>
      </c>
      <c r="M114" s="57">
        <f t="shared" si="19"/>
        <v>0</v>
      </c>
      <c r="N114" s="57">
        <f t="shared" si="20"/>
        <v>0</v>
      </c>
      <c r="O114">
        <v>0</v>
      </c>
      <c r="P114" s="103">
        <f t="shared" si="13"/>
        <v>0</v>
      </c>
      <c r="Q114" s="103">
        <f t="shared" si="21"/>
        <v>4.736387270388704</v>
      </c>
      <c r="R114" s="103">
        <f t="shared" si="22"/>
        <v>-7.5693003092695665E-2</v>
      </c>
      <c r="S114" s="103">
        <f t="shared" si="23"/>
        <v>4.7363872703887155</v>
      </c>
      <c r="T114" s="103"/>
      <c r="U114" s="103"/>
    </row>
    <row r="115" spans="1:21">
      <c r="A115" s="64">
        <v>99</v>
      </c>
      <c r="B115" s="64">
        <v>0</v>
      </c>
      <c r="C115" s="64">
        <v>0</v>
      </c>
      <c r="D115" s="103">
        <f t="shared" si="14"/>
        <v>0</v>
      </c>
      <c r="E115" s="117">
        <f t="shared" si="15"/>
        <v>0</v>
      </c>
      <c r="F115" s="103">
        <f t="shared" si="24"/>
        <v>-6.7153876597280518E-2</v>
      </c>
      <c r="G115" s="103">
        <f t="shared" si="16"/>
        <v>4.2020629817407045</v>
      </c>
      <c r="H115" s="103">
        <f t="shared" si="17"/>
        <v>0.66869239047433238</v>
      </c>
      <c r="I115" s="118">
        <f>E115/Steuerung!$D$4</f>
        <v>0</v>
      </c>
      <c r="J115" s="103">
        <f>F115/Steuerung!$D$2</f>
        <v>-2.238462553242684E-2</v>
      </c>
      <c r="K115" s="57">
        <f>60*H115/Steuerung!$D$1</f>
        <v>1.3373847809486647E-2</v>
      </c>
      <c r="L115" s="103">
        <f t="shared" si="18"/>
        <v>0</v>
      </c>
      <c r="M115" s="57">
        <f t="shared" si="19"/>
        <v>0</v>
      </c>
      <c r="N115" s="57">
        <f t="shared" si="20"/>
        <v>0</v>
      </c>
      <c r="O115">
        <v>0</v>
      </c>
      <c r="P115" s="103">
        <f t="shared" si="13"/>
        <v>0</v>
      </c>
      <c r="Q115" s="103">
        <f t="shared" si="21"/>
        <v>4.2020629817407045</v>
      </c>
      <c r="R115" s="103">
        <f t="shared" si="22"/>
        <v>-6.7153876597278117E-2</v>
      </c>
      <c r="S115" s="103">
        <f t="shared" si="23"/>
        <v>4.2020629817407142</v>
      </c>
      <c r="T115" s="103"/>
      <c r="U115" s="103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1"/>
  <sheetViews>
    <sheetView workbookViewId="0">
      <selection activeCell="B8" sqref="B8"/>
    </sheetView>
  </sheetViews>
  <sheetFormatPr baseColWidth="10" defaultRowHeight="15" x14ac:dyDescent="0"/>
  <cols>
    <col min="3" max="3" width="11.1640625" bestFit="1" customWidth="1"/>
    <col min="6" max="7" width="12.1640625" bestFit="1" customWidth="1"/>
    <col min="10" max="10" width="10.83203125" style="64"/>
    <col min="13" max="13" width="13.1640625" customWidth="1"/>
  </cols>
  <sheetData>
    <row r="1" spans="1:16">
      <c r="A1" t="s">
        <v>181</v>
      </c>
      <c r="B1" s="145">
        <v>1500</v>
      </c>
      <c r="C1" t="s">
        <v>184</v>
      </c>
      <c r="D1" s="2" t="s">
        <v>194</v>
      </c>
      <c r="E1" s="66">
        <v>0</v>
      </c>
      <c r="F1" s="66">
        <v>1</v>
      </c>
      <c r="G1" s="66">
        <v>0</v>
      </c>
      <c r="H1" s="66">
        <v>0</v>
      </c>
      <c r="I1" s="3" t="s">
        <v>190</v>
      </c>
      <c r="J1" s="66" t="s">
        <v>197</v>
      </c>
      <c r="K1" s="66">
        <v>0</v>
      </c>
      <c r="L1" s="4" t="s">
        <v>198</v>
      </c>
      <c r="N1" t="s">
        <v>188</v>
      </c>
      <c r="O1" t="s">
        <v>200</v>
      </c>
      <c r="P1" t="s">
        <v>108</v>
      </c>
    </row>
    <row r="2" spans="1:16">
      <c r="A2" t="s">
        <v>182</v>
      </c>
      <c r="B2" s="145">
        <v>1000</v>
      </c>
      <c r="C2" t="s">
        <v>184</v>
      </c>
      <c r="D2" s="5" t="s">
        <v>195</v>
      </c>
      <c r="E2" s="69">
        <v>0</v>
      </c>
      <c r="F2" s="69">
        <v>0</v>
      </c>
      <c r="G2" s="69">
        <f>B4*B1/B2</f>
        <v>15</v>
      </c>
      <c r="H2" s="69">
        <v>0</v>
      </c>
      <c r="I2" s="6" t="s">
        <v>191</v>
      </c>
      <c r="J2" s="69" t="s">
        <v>197</v>
      </c>
      <c r="K2" s="69">
        <f>1/B2</f>
        <v>1E-3</v>
      </c>
      <c r="L2" s="7" t="s">
        <v>198</v>
      </c>
      <c r="N2" t="s">
        <v>189</v>
      </c>
      <c r="O2" t="s">
        <v>201</v>
      </c>
      <c r="P2" t="s">
        <v>217</v>
      </c>
    </row>
    <row r="3" spans="1:16">
      <c r="A3" t="s">
        <v>183</v>
      </c>
      <c r="B3" s="145">
        <v>8</v>
      </c>
      <c r="C3" t="s">
        <v>185</v>
      </c>
      <c r="D3" s="5" t="s">
        <v>196</v>
      </c>
      <c r="E3" s="69">
        <v>0</v>
      </c>
      <c r="F3" s="69">
        <v>0</v>
      </c>
      <c r="G3" s="69">
        <v>0</v>
      </c>
      <c r="H3" s="69">
        <v>1</v>
      </c>
      <c r="I3" s="6" t="s">
        <v>192</v>
      </c>
      <c r="J3" s="69" t="s">
        <v>197</v>
      </c>
      <c r="K3" s="69">
        <v>0</v>
      </c>
      <c r="L3" s="7" t="s">
        <v>198</v>
      </c>
      <c r="N3" t="s">
        <v>202</v>
      </c>
      <c r="O3" t="s">
        <v>203</v>
      </c>
      <c r="P3" t="s">
        <v>223</v>
      </c>
    </row>
    <row r="4" spans="1:16">
      <c r="A4" t="s">
        <v>186</v>
      </c>
      <c r="B4">
        <v>10</v>
      </c>
      <c r="C4" t="s">
        <v>187</v>
      </c>
      <c r="D4" s="5" t="s">
        <v>206</v>
      </c>
      <c r="E4" s="69">
        <v>0</v>
      </c>
      <c r="F4" s="69">
        <v>0</v>
      </c>
      <c r="G4" s="69">
        <f>-(B4/B3)*(1+B1/B2)</f>
        <v>-3.125</v>
      </c>
      <c r="H4" s="69">
        <v>0</v>
      </c>
      <c r="I4" s="6" t="s">
        <v>193</v>
      </c>
      <c r="J4" s="69" t="s">
        <v>197</v>
      </c>
      <c r="K4" s="69">
        <f>-1/(B3*B2)</f>
        <v>-1.25E-4</v>
      </c>
      <c r="L4" s="7" t="s">
        <v>198</v>
      </c>
      <c r="N4" t="s">
        <v>204</v>
      </c>
      <c r="O4" t="s">
        <v>205</v>
      </c>
      <c r="P4" t="s">
        <v>211</v>
      </c>
    </row>
    <row r="5" spans="1:16">
      <c r="A5" t="s">
        <v>210</v>
      </c>
      <c r="B5" s="145">
        <v>0.1</v>
      </c>
      <c r="C5" t="s">
        <v>34</v>
      </c>
      <c r="D5" s="5"/>
      <c r="E5" s="69"/>
      <c r="F5" s="69"/>
      <c r="G5" s="69"/>
      <c r="H5" s="69"/>
      <c r="I5" s="6"/>
      <c r="J5" s="69"/>
      <c r="K5" s="6"/>
      <c r="L5" s="7"/>
      <c r="P5" t="s">
        <v>224</v>
      </c>
    </row>
    <row r="6" spans="1:16">
      <c r="D6" s="5" t="s">
        <v>199</v>
      </c>
      <c r="E6" s="69">
        <v>1</v>
      </c>
      <c r="F6" s="69">
        <v>0</v>
      </c>
      <c r="G6" s="69">
        <f>B3</f>
        <v>8</v>
      </c>
      <c r="H6" s="69">
        <v>0</v>
      </c>
      <c r="I6" s="6" t="s">
        <v>190</v>
      </c>
      <c r="J6" s="69"/>
      <c r="K6" s="150" t="s">
        <v>219</v>
      </c>
      <c r="L6" s="152"/>
      <c r="M6" s="64" t="s">
        <v>213</v>
      </c>
      <c r="N6" s="64">
        <f>G4*B5</f>
        <v>-0.3125</v>
      </c>
    </row>
    <row r="7" spans="1:16">
      <c r="A7" t="s">
        <v>231</v>
      </c>
      <c r="B7" s="145">
        <v>500</v>
      </c>
      <c r="C7" t="s">
        <v>218</v>
      </c>
      <c r="D7" s="5"/>
      <c r="E7" s="6"/>
      <c r="F7" s="6"/>
      <c r="G7" s="6"/>
      <c r="H7" s="6"/>
      <c r="I7" s="6" t="s">
        <v>191</v>
      </c>
      <c r="J7" s="69"/>
      <c r="K7" s="151" t="s">
        <v>220</v>
      </c>
      <c r="L7" s="108"/>
      <c r="M7" s="64" t="s">
        <v>216</v>
      </c>
      <c r="N7" s="64">
        <f>N6*B5</f>
        <v>-3.125E-2</v>
      </c>
      <c r="P7" t="s">
        <v>212</v>
      </c>
    </row>
    <row r="8" spans="1:16">
      <c r="A8" t="s">
        <v>229</v>
      </c>
      <c r="B8" s="57">
        <f>SQRT(B4/B3)</f>
        <v>1.1180339887498949</v>
      </c>
      <c r="C8" t="s">
        <v>230</v>
      </c>
      <c r="D8" s="5"/>
      <c r="E8" s="6"/>
      <c r="F8" s="6"/>
      <c r="G8" s="6"/>
      <c r="H8" s="6"/>
      <c r="I8" s="6" t="s">
        <v>192</v>
      </c>
      <c r="J8" s="69"/>
      <c r="K8" s="151" t="s">
        <v>221</v>
      </c>
      <c r="L8" s="108"/>
      <c r="M8" t="s">
        <v>215</v>
      </c>
      <c r="N8" s="147">
        <f>1/(1-N7)</f>
        <v>0.96969696969696972</v>
      </c>
    </row>
    <row r="9" spans="1:16" ht="16" thickBot="1">
      <c r="A9" t="s">
        <v>232</v>
      </c>
      <c r="B9" s="145">
        <v>0.2</v>
      </c>
      <c r="C9" t="s">
        <v>230</v>
      </c>
      <c r="D9" s="8"/>
      <c r="E9" s="9"/>
      <c r="F9" s="9"/>
      <c r="G9" s="9"/>
      <c r="H9" s="9"/>
      <c r="I9" s="9" t="s">
        <v>193</v>
      </c>
      <c r="J9" s="80"/>
      <c r="K9" s="153" t="s">
        <v>222</v>
      </c>
      <c r="L9" s="110"/>
    </row>
    <row r="11" spans="1:16">
      <c r="A11" t="s">
        <v>17</v>
      </c>
      <c r="B11" s="64" t="s">
        <v>226</v>
      </c>
      <c r="C11" s="64" t="s">
        <v>207</v>
      </c>
      <c r="D11" s="64" t="s">
        <v>208</v>
      </c>
      <c r="E11" s="69" t="s">
        <v>209</v>
      </c>
      <c r="F11" s="146" t="s">
        <v>227</v>
      </c>
      <c r="G11" s="146" t="s">
        <v>228</v>
      </c>
      <c r="H11" s="146" t="s">
        <v>225</v>
      </c>
    </row>
    <row r="12" spans="1:16">
      <c r="A12" s="148">
        <v>-1</v>
      </c>
      <c r="B12" s="148">
        <v>0</v>
      </c>
      <c r="C12" s="148">
        <v>0</v>
      </c>
      <c r="D12" s="149">
        <v>0</v>
      </c>
      <c r="E12" s="149">
        <v>0</v>
      </c>
      <c r="F12" s="149">
        <v>0</v>
      </c>
      <c r="G12" s="145" t="s">
        <v>214</v>
      </c>
      <c r="H12" s="103">
        <f>D12*360/(2*PI())</f>
        <v>0</v>
      </c>
    </row>
    <row r="13" spans="1:16">
      <c r="A13">
        <v>0</v>
      </c>
      <c r="B13" s="118">
        <f>$B$7*SIN(2*PI()*A13*$B$9*$B$5)</f>
        <v>0</v>
      </c>
      <c r="C13" s="118">
        <f>$N$8*($G$4*$B$5*D12+C12+$K$4*$B$5*B13)</f>
        <v>0</v>
      </c>
      <c r="D13" s="74">
        <f>$B$5*C13+D12</f>
        <v>0</v>
      </c>
      <c r="E13" s="74">
        <f>E12+$B$5*$G$2*D13+$B$5*$K$2*B13</f>
        <v>0</v>
      </c>
      <c r="F13" s="118">
        <f>$B$5*E13+F12</f>
        <v>0</v>
      </c>
      <c r="G13" s="118">
        <f>$E$6*F13+$G$6*D13</f>
        <v>0</v>
      </c>
      <c r="H13" s="103">
        <f t="shared" ref="H13:H76" si="0">D13*360/(2*PI())</f>
        <v>0</v>
      </c>
    </row>
    <row r="14" spans="1:16">
      <c r="A14">
        <v>1</v>
      </c>
      <c r="B14" s="118">
        <f t="shared" ref="B14:B37" si="1">$B$7*SIN(2*PI()*A14*$B$9*$B$5)</f>
        <v>62.666616782152133</v>
      </c>
      <c r="C14" s="118">
        <f t="shared" ref="C14:C77" si="2">$N$8*($G$4*$B$5*D13+C13+$K$4*$B$5*B14)</f>
        <v>-7.5959535493517745E-4</v>
      </c>
      <c r="D14" s="74">
        <f t="shared" ref="D14:D77" si="3">$B$5*C14+D13</f>
        <v>-7.5959535493517756E-5</v>
      </c>
      <c r="E14" s="74">
        <f t="shared" ref="E14:E77" si="4">E13+$B$5*$G$2*D14+$B$5*$K$2*B14</f>
        <v>6.1527223749749367E-3</v>
      </c>
      <c r="F14" s="118">
        <f t="shared" ref="F14:F77" si="5">$B$5*E14+F13</f>
        <v>6.1527223749749372E-4</v>
      </c>
      <c r="G14" s="118">
        <f t="shared" ref="G14:G77" si="6">$E$6*F14+$G$6*D14</f>
        <v>7.5959535493516726E-6</v>
      </c>
      <c r="H14" s="103">
        <f t="shared" si="0"/>
        <v>-4.3521607975527442E-3</v>
      </c>
    </row>
    <row r="15" spans="1:16">
      <c r="A15">
        <v>2</v>
      </c>
      <c r="B15" s="118">
        <f t="shared" si="1"/>
        <v>124.34494358242739</v>
      </c>
      <c r="C15" s="118">
        <f t="shared" si="2"/>
        <v>-2.2207707101806503E-3</v>
      </c>
      <c r="D15" s="74">
        <f t="shared" si="3"/>
        <v>-2.9803660651158282E-4</v>
      </c>
      <c r="E15" s="74">
        <f t="shared" si="4"/>
        <v>1.8140161823450303E-2</v>
      </c>
      <c r="F15" s="118">
        <f t="shared" si="5"/>
        <v>2.4292884198425244E-3</v>
      </c>
      <c r="G15" s="118">
        <f t="shared" si="6"/>
        <v>4.4995567749861812E-5</v>
      </c>
      <c r="H15" s="103">
        <f t="shared" si="0"/>
        <v>-1.7076239693514926E-2</v>
      </c>
    </row>
    <row r="16" spans="1:16">
      <c r="A16">
        <v>3</v>
      </c>
      <c r="B16" s="118">
        <f t="shared" si="1"/>
        <v>184.06227634233898</v>
      </c>
      <c r="C16" s="118">
        <f t="shared" si="2"/>
        <v>-4.2942183999272908E-3</v>
      </c>
      <c r="D16" s="74">
        <f t="shared" si="3"/>
        <v>-7.2745844650431188E-4</v>
      </c>
      <c r="E16" s="74">
        <f t="shared" si="4"/>
        <v>3.5455201787927736E-2</v>
      </c>
      <c r="F16" s="118">
        <f t="shared" si="5"/>
        <v>5.9748085986352983E-3</v>
      </c>
      <c r="G16" s="118">
        <f t="shared" si="6"/>
        <v>1.5514102660080329E-4</v>
      </c>
      <c r="H16" s="103">
        <f t="shared" si="0"/>
        <v>-4.1680298755840443E-2</v>
      </c>
    </row>
    <row r="17" spans="1:8">
      <c r="A17">
        <v>4</v>
      </c>
      <c r="B17" s="118">
        <f t="shared" si="1"/>
        <v>240.87683705085766</v>
      </c>
      <c r="C17" s="118">
        <f t="shared" si="2"/>
        <v>-6.863367853120402E-3</v>
      </c>
      <c r="D17" s="74">
        <f t="shared" si="3"/>
        <v>-1.4137952318163522E-3</v>
      </c>
      <c r="E17" s="74">
        <f t="shared" si="4"/>
        <v>5.7422192645288972E-2</v>
      </c>
      <c r="F17" s="118">
        <f t="shared" si="5"/>
        <v>1.1717027863164196E-2</v>
      </c>
      <c r="G17" s="118">
        <f t="shared" si="6"/>
        <v>4.0666600863337871E-4</v>
      </c>
      <c r="H17" s="103">
        <f t="shared" si="0"/>
        <v>-8.1004499878796821E-2</v>
      </c>
    </row>
    <row r="18" spans="1:8">
      <c r="A18">
        <v>5</v>
      </c>
      <c r="B18" s="118">
        <f t="shared" si="1"/>
        <v>293.89262614623658</v>
      </c>
      <c r="C18" s="118">
        <f t="shared" si="2"/>
        <v>-9.7892990739449695E-3</v>
      </c>
      <c r="D18" s="74">
        <f t="shared" si="3"/>
        <v>-2.3927251392108491E-3</v>
      </c>
      <c r="E18" s="74">
        <f t="shared" si="4"/>
        <v>8.3222367551096355E-2</v>
      </c>
      <c r="F18" s="118">
        <f t="shared" si="5"/>
        <v>2.0039264618273833E-2</v>
      </c>
      <c r="G18" s="118">
        <f t="shared" si="6"/>
        <v>8.9746350458703994E-4</v>
      </c>
      <c r="H18" s="103">
        <f t="shared" si="0"/>
        <v>-0.13709305201163402</v>
      </c>
    </row>
    <row r="19" spans="1:8">
      <c r="A19">
        <v>6</v>
      </c>
      <c r="B19" s="118">
        <f t="shared" si="1"/>
        <v>342.27355296434439</v>
      </c>
      <c r="C19" s="118">
        <f t="shared" si="2"/>
        <v>-1.2916355762420253E-2</v>
      </c>
      <c r="D19" s="74">
        <f t="shared" si="3"/>
        <v>-3.6843607154528743E-3</v>
      </c>
      <c r="E19" s="74">
        <f t="shared" si="4"/>
        <v>0.11192318177435148</v>
      </c>
      <c r="F19" s="118">
        <f t="shared" si="5"/>
        <v>3.1231582795708982E-2</v>
      </c>
      <c r="G19" s="118">
        <f t="shared" si="6"/>
        <v>1.756697072085988E-3</v>
      </c>
      <c r="H19" s="103">
        <f t="shared" si="0"/>
        <v>-0.21109831919925012</v>
      </c>
    </row>
    <row r="20" spans="1:8">
      <c r="A20">
        <v>7</v>
      </c>
      <c r="B20" s="118">
        <f t="shared" si="1"/>
        <v>385.25662138789465</v>
      </c>
      <c r="C20" s="118">
        <f t="shared" si="2"/>
        <v>-1.6078255327214463E-2</v>
      </c>
      <c r="D20" s="74">
        <f t="shared" si="3"/>
        <v>-5.2921862481743204E-3</v>
      </c>
      <c r="E20" s="74">
        <f t="shared" si="4"/>
        <v>0.14251056454087946</v>
      </c>
      <c r="F20" s="118">
        <f t="shared" si="5"/>
        <v>4.5482639249796925E-2</v>
      </c>
      <c r="G20" s="118">
        <f t="shared" si="6"/>
        <v>3.145149264402361E-3</v>
      </c>
      <c r="H20" s="103">
        <f t="shared" si="0"/>
        <v>-0.30321993641756223</v>
      </c>
    </row>
    <row r="21" spans="1:8">
      <c r="A21">
        <v>8</v>
      </c>
      <c r="B21" s="118">
        <f t="shared" si="1"/>
        <v>422.16396275100755</v>
      </c>
      <c r="C21" s="118">
        <f t="shared" si="2"/>
        <v>-1.9104481608773413E-2</v>
      </c>
      <c r="D21" s="74">
        <f t="shared" si="3"/>
        <v>-7.2026344090516618E-3</v>
      </c>
      <c r="E21" s="74">
        <f t="shared" si="4"/>
        <v>0.17392300920240272</v>
      </c>
      <c r="F21" s="118">
        <f t="shared" si="5"/>
        <v>6.2874940170037197E-2</v>
      </c>
      <c r="G21" s="118">
        <f t="shared" si="6"/>
        <v>5.2538648976239027E-3</v>
      </c>
      <c r="H21" s="103">
        <f t="shared" si="0"/>
        <v>-0.41268055301436402</v>
      </c>
    </row>
    <row r="22" spans="1:8">
      <c r="A22">
        <v>9</v>
      </c>
      <c r="B22" s="118">
        <f t="shared" si="1"/>
        <v>452.4135262330098</v>
      </c>
      <c r="C22" s="118">
        <f t="shared" si="2"/>
        <v>-2.1826741754043529E-2</v>
      </c>
      <c r="D22" s="74">
        <f t="shared" si="3"/>
        <v>-9.385308584456015E-3</v>
      </c>
      <c r="E22" s="74">
        <f t="shared" si="4"/>
        <v>0.20508639894901967</v>
      </c>
      <c r="F22" s="118">
        <f t="shared" si="5"/>
        <v>8.3383580064939164E-2</v>
      </c>
      <c r="G22" s="118">
        <f t="shared" si="6"/>
        <v>8.3011113892910438E-3</v>
      </c>
      <c r="H22" s="103">
        <f t="shared" si="0"/>
        <v>-0.53773857131723057</v>
      </c>
    </row>
    <row r="23" spans="1:8">
      <c r="A23">
        <v>10</v>
      </c>
      <c r="B23" s="118">
        <f t="shared" si="1"/>
        <v>475.52825814757676</v>
      </c>
      <c r="C23" s="118">
        <f t="shared" si="2"/>
        <v>-2.4085271319511013E-2</v>
      </c>
      <c r="D23" s="74">
        <f t="shared" si="3"/>
        <v>-1.1793835716407117E-2</v>
      </c>
      <c r="E23" s="74">
        <f t="shared" si="4"/>
        <v>0.23494847118916667</v>
      </c>
      <c r="F23" s="118">
        <f t="shared" si="5"/>
        <v>0.10687842718385583</v>
      </c>
      <c r="G23" s="118">
        <f t="shared" si="6"/>
        <v>1.2527741452598898E-2</v>
      </c>
      <c r="H23" s="103">
        <f t="shared" si="0"/>
        <v>-0.67573701082077742</v>
      </c>
    </row>
    <row r="24" spans="1:8">
      <c r="A24">
        <v>11</v>
      </c>
      <c r="B24" s="118">
        <f t="shared" si="1"/>
        <v>491.14362536434436</v>
      </c>
      <c r="C24" s="118">
        <f t="shared" si="2"/>
        <v>-2.5734781066849063E-2</v>
      </c>
      <c r="D24" s="74">
        <f t="shared" si="3"/>
        <v>-1.4367313823092023E-2</v>
      </c>
      <c r="E24" s="74">
        <f t="shared" si="4"/>
        <v>0.26251186299096307</v>
      </c>
      <c r="F24" s="118">
        <f t="shared" si="5"/>
        <v>0.13312961348295213</v>
      </c>
      <c r="G24" s="118">
        <f t="shared" si="6"/>
        <v>1.8191102898215947E-2</v>
      </c>
      <c r="H24" s="103">
        <f t="shared" si="0"/>
        <v>-0.82318644500314042</v>
      </c>
    </row>
    <row r="25" spans="1:8">
      <c r="A25">
        <v>12</v>
      </c>
      <c r="B25" s="118">
        <f t="shared" si="1"/>
        <v>499.01336421413578</v>
      </c>
      <c r="C25" s="118">
        <f t="shared" si="2"/>
        <v>-2.6649854593754671E-2</v>
      </c>
      <c r="D25" s="74">
        <f t="shared" si="3"/>
        <v>-1.7032299282467491E-2</v>
      </c>
      <c r="E25" s="74">
        <f t="shared" si="4"/>
        <v>0.28686475048867544</v>
      </c>
      <c r="F25" s="118">
        <f t="shared" si="5"/>
        <v>0.16181608853181967</v>
      </c>
      <c r="G25" s="118">
        <f t="shared" si="6"/>
        <v>2.555769427207974E-2</v>
      </c>
      <c r="H25" s="103">
        <f t="shared" si="0"/>
        <v>-0.97587886428908754</v>
      </c>
    </row>
    <row r="26" spans="1:8">
      <c r="A26">
        <v>13</v>
      </c>
      <c r="B26" s="118">
        <f t="shared" si="1"/>
        <v>499.01336421413578</v>
      </c>
      <c r="C26" s="118">
        <f t="shared" si="2"/>
        <v>-2.672962726851906E-2</v>
      </c>
      <c r="D26" s="74">
        <f t="shared" si="3"/>
        <v>-1.9705262009319397E-2</v>
      </c>
      <c r="E26" s="74">
        <f t="shared" si="4"/>
        <v>0.30720819389610993</v>
      </c>
      <c r="F26" s="118">
        <f t="shared" si="5"/>
        <v>0.19253690792143066</v>
      </c>
      <c r="G26" s="118">
        <f t="shared" si="6"/>
        <v>3.4894811846875484E-2</v>
      </c>
      <c r="H26" s="103">
        <f t="shared" si="0"/>
        <v>-1.1290283473334819</v>
      </c>
    </row>
    <row r="27" spans="1:8">
      <c r="A27">
        <v>14</v>
      </c>
      <c r="B27" s="118">
        <f t="shared" si="1"/>
        <v>491.14362536434436</v>
      </c>
      <c r="C27" s="118">
        <f t="shared" si="2"/>
        <v>-2.5901603110459206E-2</v>
      </c>
      <c r="D27" s="74">
        <f t="shared" si="3"/>
        <v>-2.229542232036532E-2</v>
      </c>
      <c r="E27" s="74">
        <f t="shared" si="4"/>
        <v>0.32287942295199634</v>
      </c>
      <c r="F27" s="118">
        <f t="shared" si="5"/>
        <v>0.22482485021663029</v>
      </c>
      <c r="G27" s="118">
        <f t="shared" si="6"/>
        <v>4.6461471653707731E-2</v>
      </c>
      <c r="H27" s="103">
        <f t="shared" si="0"/>
        <v>-1.2774336014187055</v>
      </c>
    </row>
    <row r="28" spans="1:8">
      <c r="A28">
        <v>15</v>
      </c>
      <c r="B28" s="118">
        <f t="shared" si="1"/>
        <v>475.52825814757682</v>
      </c>
      <c r="C28" s="118">
        <f t="shared" si="2"/>
        <v>-2.4124496351214306E-2</v>
      </c>
      <c r="D28" s="74">
        <f t="shared" si="3"/>
        <v>-2.4707871955486752E-2</v>
      </c>
      <c r="E28" s="74">
        <f t="shared" si="4"/>
        <v>0.33337044083352391</v>
      </c>
      <c r="F28" s="118">
        <f t="shared" si="5"/>
        <v>0.25816189429998271</v>
      </c>
      <c r="G28" s="118">
        <f t="shared" si="6"/>
        <v>6.0498918656088696E-2</v>
      </c>
      <c r="H28" s="103">
        <f t="shared" si="0"/>
        <v>-1.4156567837990393</v>
      </c>
    </row>
    <row r="29" spans="1:8">
      <c r="A29">
        <v>16</v>
      </c>
      <c r="B29" s="118">
        <f t="shared" si="1"/>
        <v>452.41352623300975</v>
      </c>
      <c r="C29" s="118">
        <f t="shared" si="2"/>
        <v>-2.1390017399308917E-2</v>
      </c>
      <c r="D29" s="74">
        <f t="shared" si="3"/>
        <v>-2.6846873695417644E-2</v>
      </c>
      <c r="E29" s="74">
        <f t="shared" si="4"/>
        <v>0.33834148291369842</v>
      </c>
      <c r="F29" s="118">
        <f t="shared" si="5"/>
        <v>0.29199604259135253</v>
      </c>
      <c r="G29" s="118">
        <f t="shared" si="6"/>
        <v>7.7221053028011383E-2</v>
      </c>
      <c r="H29" s="103">
        <f t="shared" si="0"/>
        <v>-1.5382125558682189</v>
      </c>
    </row>
    <row r="30" spans="1:8">
      <c r="A30">
        <v>17</v>
      </c>
      <c r="B30" s="118">
        <f t="shared" si="1"/>
        <v>422.16396275100749</v>
      </c>
      <c r="C30" s="118">
        <f t="shared" si="2"/>
        <v>-1.7723557724973089E-2</v>
      </c>
      <c r="D30" s="74">
        <f t="shared" si="3"/>
        <v>-2.8619229467914953E-2</v>
      </c>
      <c r="E30" s="74">
        <f t="shared" si="4"/>
        <v>0.33762903498692676</v>
      </c>
      <c r="F30" s="118">
        <f t="shared" si="5"/>
        <v>0.32575894609004519</v>
      </c>
      <c r="G30" s="118">
        <f t="shared" si="6"/>
        <v>9.6805110346725565E-2</v>
      </c>
      <c r="H30" s="103">
        <f t="shared" si="0"/>
        <v>-1.6397610614279634</v>
      </c>
    </row>
    <row r="31" spans="1:8">
      <c r="A31">
        <v>18</v>
      </c>
      <c r="B31" s="118">
        <f t="shared" si="1"/>
        <v>385.25662138789465</v>
      </c>
      <c r="C31" s="118">
        <f t="shared" si="2"/>
        <v>-1.3183763668943855E-2</v>
      </c>
      <c r="D31" s="74">
        <f t="shared" si="3"/>
        <v>-2.9937605834809339E-2</v>
      </c>
      <c r="E31" s="74">
        <f t="shared" si="4"/>
        <v>0.33124828837350218</v>
      </c>
      <c r="F31" s="118">
        <f t="shared" si="5"/>
        <v>0.35888377492739543</v>
      </c>
      <c r="G31" s="118">
        <f t="shared" si="6"/>
        <v>0.11938292824892072</v>
      </c>
      <c r="H31" s="103">
        <f t="shared" si="0"/>
        <v>-1.7152984630608028</v>
      </c>
    </row>
    <row r="32" spans="1:8">
      <c r="A32">
        <v>19</v>
      </c>
      <c r="B32" s="118">
        <f t="shared" si="1"/>
        <v>342.27355296434428</v>
      </c>
      <c r="C32" s="118">
        <f t="shared" si="2"/>
        <v>-7.8610242498135651E-3</v>
      </c>
      <c r="D32" s="74">
        <f t="shared" si="3"/>
        <v>-3.0723708259790695E-2</v>
      </c>
      <c r="E32" s="74">
        <f t="shared" si="4"/>
        <v>0.31939008128025059</v>
      </c>
      <c r="F32" s="118">
        <f t="shared" si="5"/>
        <v>0.39082278305542051</v>
      </c>
      <c r="G32" s="118">
        <f t="shared" si="6"/>
        <v>0.14503311697709495</v>
      </c>
      <c r="H32" s="103">
        <f t="shared" si="0"/>
        <v>-1.7603388142772338</v>
      </c>
    </row>
    <row r="33" spans="1:8">
      <c r="A33">
        <v>20</v>
      </c>
      <c r="B33" s="118">
        <f t="shared" si="1"/>
        <v>293.89262614623664</v>
      </c>
      <c r="C33" s="118">
        <f t="shared" si="2"/>
        <v>-1.8749316319582364E-3</v>
      </c>
      <c r="D33" s="74">
        <f t="shared" si="3"/>
        <v>-3.091120142298652E-2</v>
      </c>
      <c r="E33" s="74">
        <f t="shared" si="4"/>
        <v>0.30241254176039445</v>
      </c>
      <c r="F33" s="118">
        <f t="shared" si="5"/>
        <v>0.42106403723145996</v>
      </c>
      <c r="G33" s="118">
        <f t="shared" si="6"/>
        <v>0.1737744258475678</v>
      </c>
      <c r="H33" s="103">
        <f t="shared" si="0"/>
        <v>-1.7710813812159123</v>
      </c>
    </row>
    <row r="34" spans="1:8">
      <c r="A34">
        <v>21</v>
      </c>
      <c r="B34" s="118">
        <f t="shared" si="1"/>
        <v>240.8768370508574</v>
      </c>
      <c r="C34" s="118">
        <f t="shared" si="2"/>
        <v>4.6291959753593541E-3</v>
      </c>
      <c r="D34" s="74">
        <f t="shared" si="3"/>
        <v>-3.0448281825450584E-2</v>
      </c>
      <c r="E34" s="74">
        <f t="shared" si="4"/>
        <v>0.28082780272730434</v>
      </c>
      <c r="F34" s="118">
        <f t="shared" si="5"/>
        <v>0.44914681750419039</v>
      </c>
      <c r="G34" s="118">
        <f t="shared" si="6"/>
        <v>0.20556056290058572</v>
      </c>
      <c r="H34" s="103">
        <f t="shared" si="0"/>
        <v>-1.7445580420232083</v>
      </c>
    </row>
    <row r="35" spans="1:8">
      <c r="A35">
        <v>22</v>
      </c>
      <c r="B35" s="118">
        <f t="shared" si="1"/>
        <v>184.06227634233889</v>
      </c>
      <c r="C35" s="118">
        <f t="shared" si="2"/>
        <v>1.1484611482699081E-2</v>
      </c>
      <c r="D35" s="74">
        <f t="shared" si="3"/>
        <v>-2.9299820677180677E-2</v>
      </c>
      <c r="E35" s="74">
        <f t="shared" si="4"/>
        <v>0.25528429934576724</v>
      </c>
      <c r="F35" s="118">
        <f t="shared" si="5"/>
        <v>0.4746752474387671</v>
      </c>
      <c r="G35" s="118">
        <f t="shared" si="6"/>
        <v>0.24027668202132169</v>
      </c>
      <c r="H35" s="103">
        <f t="shared" si="0"/>
        <v>-1.6787560652925944</v>
      </c>
    </row>
    <row r="36" spans="1:8">
      <c r="A36">
        <v>23</v>
      </c>
      <c r="B36" s="118">
        <f t="shared" si="1"/>
        <v>124.3449435824274</v>
      </c>
      <c r="C36" s="118">
        <f t="shared" si="2"/>
        <v>1.8508115054097166E-2</v>
      </c>
      <c r="D36" s="74">
        <f t="shared" si="3"/>
        <v>-2.7449009171770962E-2</v>
      </c>
      <c r="E36" s="74">
        <f t="shared" si="4"/>
        <v>0.22654527994635354</v>
      </c>
      <c r="F36" s="118">
        <f t="shared" si="5"/>
        <v>0.49732977543340245</v>
      </c>
      <c r="G36" s="118">
        <f t="shared" si="6"/>
        <v>0.27773770205923476</v>
      </c>
      <c r="H36" s="103">
        <f t="shared" si="0"/>
        <v>-1.5727123773583633</v>
      </c>
    </row>
    <row r="37" spans="1:8">
      <c r="A37">
        <v>24</v>
      </c>
      <c r="B37" s="118">
        <f t="shared" si="1"/>
        <v>62.666616782152047</v>
      </c>
      <c r="C37" s="118">
        <f t="shared" si="2"/>
        <v>2.5505549295029035E-2</v>
      </c>
      <c r="D37" s="74">
        <f t="shared" si="3"/>
        <v>-2.489845424226806E-2</v>
      </c>
      <c r="E37" s="74">
        <f t="shared" si="4"/>
        <v>0.19546426026116664</v>
      </c>
      <c r="F37" s="118">
        <f t="shared" si="5"/>
        <v>0.51687620145951907</v>
      </c>
      <c r="G37" s="118">
        <f t="shared" si="6"/>
        <v>0.31768856752137459</v>
      </c>
      <c r="H37" s="103">
        <f t="shared" si="0"/>
        <v>-1.42657634448156</v>
      </c>
    </row>
    <row r="38" spans="1:8">
      <c r="A38">
        <v>25</v>
      </c>
      <c r="B38" s="118">
        <v>0</v>
      </c>
      <c r="C38" s="118">
        <f t="shared" si="2"/>
        <v>3.2277639995866962E-2</v>
      </c>
      <c r="D38" s="74">
        <f t="shared" si="3"/>
        <v>-2.1670690242681364E-2</v>
      </c>
      <c r="E38" s="74">
        <f t="shared" si="4"/>
        <v>0.16295822489714459</v>
      </c>
      <c r="F38" s="118">
        <f t="shared" si="5"/>
        <v>0.53317202394923358</v>
      </c>
      <c r="G38" s="118">
        <f t="shared" si="6"/>
        <v>0.35980650200778264</v>
      </c>
      <c r="H38" s="103">
        <f t="shared" si="0"/>
        <v>-1.2416390900409759</v>
      </c>
    </row>
    <row r="39" spans="1:8">
      <c r="A39">
        <v>26</v>
      </c>
      <c r="B39" s="118">
        <v>0</v>
      </c>
      <c r="C39" s="118">
        <f t="shared" si="2"/>
        <v>3.7866405524077468E-2</v>
      </c>
      <c r="D39" s="74">
        <f t="shared" si="3"/>
        <v>-1.7884049690273615E-2</v>
      </c>
      <c r="E39" s="74">
        <f t="shared" si="4"/>
        <v>0.13613215036173418</v>
      </c>
      <c r="F39" s="118">
        <f t="shared" si="5"/>
        <v>0.54678523898540699</v>
      </c>
      <c r="G39" s="118">
        <f t="shared" si="6"/>
        <v>0.40371284146321806</v>
      </c>
      <c r="H39" s="103">
        <f t="shared" si="0"/>
        <v>-1.0246805678549253</v>
      </c>
    </row>
    <row r="40" spans="1:8">
      <c r="A40">
        <v>27</v>
      </c>
      <c r="B40" s="118">
        <v>0</v>
      </c>
      <c r="C40" s="118">
        <f t="shared" si="2"/>
        <v>4.2138347687067125E-2</v>
      </c>
      <c r="D40" s="74">
        <f t="shared" si="3"/>
        <v>-1.3670214921566903E-2</v>
      </c>
      <c r="E40" s="74">
        <f t="shared" si="4"/>
        <v>0.11562682797938383</v>
      </c>
      <c r="F40" s="118">
        <f t="shared" si="5"/>
        <v>0.55834792178334536</v>
      </c>
      <c r="G40" s="118">
        <f t="shared" si="6"/>
        <v>0.44898620241081011</v>
      </c>
      <c r="H40" s="103">
        <f t="shared" si="0"/>
        <v>-0.78324562004254528</v>
      </c>
    </row>
    <row r="41" spans="1:8">
      <c r="A41">
        <v>28</v>
      </c>
      <c r="B41" s="118">
        <v>0</v>
      </c>
      <c r="C41" s="118">
        <f t="shared" si="2"/>
        <v>4.5003917430358094E-2</v>
      </c>
      <c r="D41" s="74">
        <f t="shared" si="3"/>
        <v>-9.1698231785310932E-3</v>
      </c>
      <c r="E41" s="74">
        <f t="shared" si="4"/>
        <v>0.10187209321158719</v>
      </c>
      <c r="F41" s="118">
        <f t="shared" si="5"/>
        <v>0.56853513110450404</v>
      </c>
      <c r="G41" s="118">
        <f t="shared" si="6"/>
        <v>0.4951765456762553</v>
      </c>
      <c r="H41" s="103">
        <f t="shared" si="0"/>
        <v>-0.52539216701106917</v>
      </c>
    </row>
    <row r="42" spans="1:8">
      <c r="A42">
        <v>29</v>
      </c>
      <c r="B42" s="118">
        <v>0</v>
      </c>
      <c r="C42" s="118">
        <f t="shared" si="2"/>
        <v>4.6418896653235453E-2</v>
      </c>
      <c r="D42" s="74">
        <f t="shared" si="3"/>
        <v>-4.5279335132075481E-3</v>
      </c>
      <c r="E42" s="74">
        <f t="shared" si="4"/>
        <v>9.508019294177586E-2</v>
      </c>
      <c r="F42" s="118">
        <f t="shared" si="5"/>
        <v>0.57804315039868159</v>
      </c>
      <c r="G42" s="118">
        <f t="shared" si="6"/>
        <v>0.54181968229302124</v>
      </c>
      <c r="H42" s="103">
        <f t="shared" si="0"/>
        <v>-0.2594314802226359</v>
      </c>
    </row>
    <row r="43" spans="1:8">
      <c r="A43">
        <v>30</v>
      </c>
      <c r="B43" s="118">
        <v>0</v>
      </c>
      <c r="C43" s="118">
        <f t="shared" si="2"/>
        <v>4.6384364485927573E-2</v>
      </c>
      <c r="D43" s="74">
        <f t="shared" si="3"/>
        <v>1.1050293538520956E-4</v>
      </c>
      <c r="E43" s="74">
        <f t="shared" si="4"/>
        <v>9.5245947344853671E-2</v>
      </c>
      <c r="F43" s="118">
        <f t="shared" si="5"/>
        <v>0.58756774513316701</v>
      </c>
      <c r="G43" s="118">
        <f t="shared" si="6"/>
        <v>0.5884517686162487</v>
      </c>
      <c r="H43" s="103">
        <f t="shared" si="0"/>
        <v>6.3313518213793498E-3</v>
      </c>
    </row>
    <row r="44" spans="1:8">
      <c r="A44">
        <v>31</v>
      </c>
      <c r="B44" s="118">
        <v>0</v>
      </c>
      <c r="C44" s="118">
        <f t="shared" si="2"/>
        <v>4.4945291945328189E-2</v>
      </c>
      <c r="D44" s="74">
        <f t="shared" si="3"/>
        <v>4.6050321299180288E-3</v>
      </c>
      <c r="E44" s="74">
        <f t="shared" si="4"/>
        <v>0.10215349553973072</v>
      </c>
      <c r="F44" s="118">
        <f t="shared" si="5"/>
        <v>0.59778309468714008</v>
      </c>
      <c r="G44" s="118">
        <f t="shared" si="6"/>
        <v>0.63462335172648432</v>
      </c>
      <c r="H44" s="103">
        <f t="shared" si="0"/>
        <v>0.26384890556644325</v>
      </c>
    </row>
    <row r="45" spans="1:8">
      <c r="A45">
        <v>32</v>
      </c>
      <c r="B45" s="118">
        <v>0</v>
      </c>
      <c r="C45" s="118">
        <f t="shared" si="2"/>
        <v>4.2187849119737025E-2</v>
      </c>
      <c r="D45" s="74">
        <f t="shared" si="3"/>
        <v>8.8238170418917308E-3</v>
      </c>
      <c r="E45" s="74">
        <f t="shared" si="4"/>
        <v>0.11538922110256832</v>
      </c>
      <c r="F45" s="118">
        <f t="shared" si="5"/>
        <v>0.60932201679739695</v>
      </c>
      <c r="G45" s="118">
        <f t="shared" si="6"/>
        <v>0.67991255313253074</v>
      </c>
      <c r="H45" s="103">
        <f t="shared" si="0"/>
        <v>0.50556747569600691</v>
      </c>
    </row>
    <row r="46" spans="1:8">
      <c r="A46">
        <v>33</v>
      </c>
      <c r="B46" s="118">
        <v>0</v>
      </c>
      <c r="C46" s="118">
        <f t="shared" si="2"/>
        <v>3.8235545497353564E-2</v>
      </c>
      <c r="D46" s="74">
        <f t="shared" si="3"/>
        <v>1.2647371591627087E-2</v>
      </c>
      <c r="E46" s="74">
        <f t="shared" si="4"/>
        <v>0.13436027849000895</v>
      </c>
      <c r="F46" s="118">
        <f t="shared" si="5"/>
        <v>0.62275804464639783</v>
      </c>
      <c r="G46" s="118">
        <f t="shared" si="6"/>
        <v>0.72393701737941452</v>
      </c>
      <c r="H46" s="103">
        <f t="shared" si="0"/>
        <v>0.7246410141338866</v>
      </c>
    </row>
    <row r="47" spans="1:8">
      <c r="A47">
        <v>34</v>
      </c>
      <c r="B47" s="118">
        <v>0</v>
      </c>
      <c r="C47" s="118">
        <f t="shared" si="2"/>
        <v>3.3244355757546765E-2</v>
      </c>
      <c r="D47" s="74">
        <f t="shared" si="3"/>
        <v>1.5971807167381762E-2</v>
      </c>
      <c r="E47" s="74">
        <f t="shared" si="4"/>
        <v>0.15831798924108159</v>
      </c>
      <c r="F47" s="118">
        <f t="shared" si="5"/>
        <v>0.63858984357050597</v>
      </c>
      <c r="G47" s="118">
        <f t="shared" si="6"/>
        <v>0.76636430090956009</v>
      </c>
      <c r="H47" s="103">
        <f t="shared" si="0"/>
        <v>0.91511714188777338</v>
      </c>
    </row>
    <row r="48" spans="1:8">
      <c r="A48">
        <v>35</v>
      </c>
      <c r="B48" s="118">
        <v>0</v>
      </c>
      <c r="C48" s="118">
        <f t="shared" si="2"/>
        <v>2.7397009471747846E-2</v>
      </c>
      <c r="D48" s="74">
        <f t="shared" si="3"/>
        <v>1.8711508114556547E-2</v>
      </c>
      <c r="E48" s="74">
        <f t="shared" si="4"/>
        <v>0.1863852514129164</v>
      </c>
      <c r="F48" s="118">
        <f t="shared" si="5"/>
        <v>0.65722836871179757</v>
      </c>
      <c r="G48" s="118">
        <f t="shared" si="6"/>
        <v>0.80692043362824994</v>
      </c>
      <c r="H48" s="103">
        <f t="shared" si="0"/>
        <v>1.0720904432888827</v>
      </c>
    </row>
    <row r="49" spans="1:8">
      <c r="A49">
        <v>36</v>
      </c>
      <c r="B49" s="118">
        <v>0</v>
      </c>
      <c r="C49" s="118">
        <f t="shared" si="2"/>
        <v>2.0896643089405021E-2</v>
      </c>
      <c r="D49" s="74">
        <f t="shared" si="3"/>
        <v>2.080117242349705E-2</v>
      </c>
      <c r="E49" s="74">
        <f t="shared" si="4"/>
        <v>0.21758701004816197</v>
      </c>
      <c r="F49" s="118">
        <f t="shared" si="5"/>
        <v>0.67898706971661382</v>
      </c>
      <c r="G49" s="118">
        <f t="shared" si="6"/>
        <v>0.84539644910459022</v>
      </c>
      <c r="H49" s="103">
        <f t="shared" si="0"/>
        <v>1.1918193887902953</v>
      </c>
    </row>
    <row r="50" spans="1:8">
      <c r="A50">
        <v>37</v>
      </c>
      <c r="B50" s="118">
        <v>0</v>
      </c>
      <c r="C50" s="118">
        <f t="shared" si="2"/>
        <v>1.3960025897757279E-2</v>
      </c>
      <c r="D50" s="74">
        <f t="shared" si="3"/>
        <v>2.2197175013272778E-2</v>
      </c>
      <c r="E50" s="74">
        <f t="shared" si="4"/>
        <v>0.25088277256807112</v>
      </c>
      <c r="F50" s="118">
        <f t="shared" si="5"/>
        <v>0.70407534697342089</v>
      </c>
      <c r="G50" s="118">
        <f t="shared" si="6"/>
        <v>0.88165274707960317</v>
      </c>
      <c r="H50" s="103">
        <f t="shared" si="0"/>
        <v>1.2718044453737773</v>
      </c>
    </row>
    <row r="51" spans="1:8">
      <c r="A51">
        <v>38</v>
      </c>
      <c r="B51" s="118">
        <v>0</v>
      </c>
      <c r="C51" s="118">
        <f t="shared" si="2"/>
        <v>6.8105781392577315E-3</v>
      </c>
      <c r="D51" s="74">
        <f t="shared" si="3"/>
        <v>2.2878232827198551E-2</v>
      </c>
      <c r="E51" s="74">
        <f t="shared" si="4"/>
        <v>0.28520012180886894</v>
      </c>
      <c r="F51" s="118">
        <f t="shared" si="5"/>
        <v>0.73259535915430773</v>
      </c>
      <c r="G51" s="118">
        <f t="shared" si="6"/>
        <v>0.9156212217718962</v>
      </c>
      <c r="H51" s="103">
        <f t="shared" si="0"/>
        <v>1.3108261837161301</v>
      </c>
    </row>
    <row r="52" spans="1:8">
      <c r="A52">
        <v>39</v>
      </c>
      <c r="B52" s="118">
        <v>0</v>
      </c>
      <c r="C52" s="118">
        <f t="shared" si="2"/>
        <v>-3.2860084290115503E-4</v>
      </c>
      <c r="D52" s="74">
        <f t="shared" si="3"/>
        <v>2.2845372742908435E-2</v>
      </c>
      <c r="E52" s="74">
        <f t="shared" si="4"/>
        <v>0.31946818092323159</v>
      </c>
      <c r="F52" s="118">
        <f t="shared" si="5"/>
        <v>0.76454217724663087</v>
      </c>
      <c r="G52" s="118">
        <f t="shared" si="6"/>
        <v>0.94730515918989833</v>
      </c>
      <c r="H52" s="103">
        <f t="shared" si="0"/>
        <v>1.3089434395718624</v>
      </c>
    </row>
    <row r="53" spans="1:8">
      <c r="A53">
        <v>40</v>
      </c>
      <c r="B53" s="118">
        <v>0</v>
      </c>
      <c r="C53" s="118">
        <f t="shared" si="2"/>
        <v>-7.2414834667248887E-3</v>
      </c>
      <c r="D53" s="74">
        <f t="shared" si="3"/>
        <v>2.2121224396235945E-2</v>
      </c>
      <c r="E53" s="74">
        <f t="shared" si="4"/>
        <v>0.35265001751758551</v>
      </c>
      <c r="F53" s="118">
        <f t="shared" si="5"/>
        <v>0.79980717899838938</v>
      </c>
      <c r="G53" s="118">
        <f t="shared" si="6"/>
        <v>0.97677697416827691</v>
      </c>
      <c r="H53" s="103">
        <f t="shared" si="0"/>
        <v>1.2674527955661523</v>
      </c>
    </row>
    <row r="54" spans="1:8">
      <c r="A54">
        <v>41</v>
      </c>
      <c r="B54" s="118">
        <v>0</v>
      </c>
      <c r="C54" s="118">
        <f t="shared" si="2"/>
        <v>-1.3725445905986544E-2</v>
      </c>
      <c r="D54" s="74">
        <f t="shared" si="3"/>
        <v>2.0748679805637292E-2</v>
      </c>
      <c r="E54" s="74">
        <f t="shared" si="4"/>
        <v>0.38377303722604145</v>
      </c>
      <c r="F54" s="118">
        <f t="shared" si="5"/>
        <v>0.83818448272099355</v>
      </c>
      <c r="G54" s="118">
        <f t="shared" si="6"/>
        <v>1.0041739211660918</v>
      </c>
      <c r="H54" s="103">
        <f t="shared" si="0"/>
        <v>1.1888117833313381</v>
      </c>
    </row>
    <row r="55" spans="1:8">
      <c r="A55">
        <v>42</v>
      </c>
      <c r="B55" s="118">
        <v>0</v>
      </c>
      <c r="C55" s="118">
        <f t="shared" si="2"/>
        <v>-1.9597002031755826E-2</v>
      </c>
      <c r="D55" s="74">
        <f t="shared" si="3"/>
        <v>1.878897960246171E-2</v>
      </c>
      <c r="E55" s="74">
        <f t="shared" si="4"/>
        <v>0.41195650662973399</v>
      </c>
      <c r="F55" s="118">
        <f t="shared" si="5"/>
        <v>0.87938013338396692</v>
      </c>
      <c r="G55" s="118">
        <f t="shared" si="6"/>
        <v>1.0296919702036607</v>
      </c>
      <c r="H55" s="103">
        <f t="shared" si="0"/>
        <v>1.0765292325784472</v>
      </c>
    </row>
    <row r="56" spans="1:8">
      <c r="A56">
        <v>43</v>
      </c>
      <c r="B56" s="118">
        <v>0</v>
      </c>
      <c r="C56" s="118">
        <f t="shared" si="2"/>
        <v>-2.4696783667903139E-2</v>
      </c>
      <c r="D56" s="74">
        <f t="shared" si="3"/>
        <v>1.6319301235671397E-2</v>
      </c>
      <c r="E56" s="74">
        <f t="shared" si="4"/>
        <v>0.43643545848324106</v>
      </c>
      <c r="F56" s="118">
        <f t="shared" si="5"/>
        <v>0.92302367923229101</v>
      </c>
      <c r="G56" s="118">
        <f t="shared" si="6"/>
        <v>1.0535780891176623</v>
      </c>
      <c r="H56" s="103">
        <f t="shared" si="0"/>
        <v>0.93502708540660029</v>
      </c>
    </row>
    <row r="57" spans="1:8">
      <c r="A57">
        <v>44</v>
      </c>
      <c r="B57" s="118">
        <v>0</v>
      </c>
      <c r="C57" s="118">
        <f t="shared" si="2"/>
        <v>-2.8893639082715587E-2</v>
      </c>
      <c r="D57" s="74">
        <f t="shared" si="3"/>
        <v>1.3429937327399838E-2</v>
      </c>
      <c r="E57" s="74">
        <f t="shared" si="4"/>
        <v>0.45658036447434081</v>
      </c>
      <c r="F57" s="118">
        <f t="shared" si="5"/>
        <v>0.96868171567972505</v>
      </c>
      <c r="G57" s="118">
        <f t="shared" si="6"/>
        <v>1.0761212142989238</v>
      </c>
      <c r="H57" s="103">
        <f t="shared" si="0"/>
        <v>0.76947872798521522</v>
      </c>
    </row>
    <row r="58" spans="1:8">
      <c r="A58">
        <v>45</v>
      </c>
      <c r="B58" s="118">
        <v>0</v>
      </c>
      <c r="C58" s="118">
        <f t="shared" si="2"/>
        <v>-3.208775224002719E-2</v>
      </c>
      <c r="D58" s="74">
        <f t="shared" si="3"/>
        <v>1.0221162103397118E-2</v>
      </c>
      <c r="E58" s="74">
        <f t="shared" si="4"/>
        <v>0.47191210762943647</v>
      </c>
      <c r="F58" s="118">
        <f t="shared" si="5"/>
        <v>1.0158729264426687</v>
      </c>
      <c r="G58" s="118">
        <f t="shared" si="6"/>
        <v>1.0976422232698457</v>
      </c>
      <c r="H58" s="103">
        <f t="shared" si="0"/>
        <v>0.58562945024371404</v>
      </c>
    </row>
    <row r="59" spans="1:8">
      <c r="A59">
        <v>46</v>
      </c>
      <c r="B59" s="118">
        <v>0</v>
      </c>
      <c r="C59" s="118">
        <f t="shared" si="2"/>
        <v>-3.4212717961055794E-2</v>
      </c>
      <c r="D59" s="74">
        <f t="shared" si="3"/>
        <v>6.7998903072915388E-3</v>
      </c>
      <c r="E59" s="74">
        <f t="shared" si="4"/>
        <v>0.48211194309037381</v>
      </c>
      <c r="F59" s="118">
        <f t="shared" si="5"/>
        <v>1.064084120751706</v>
      </c>
      <c r="G59" s="118">
        <f t="shared" si="6"/>
        <v>1.1184832432100382</v>
      </c>
      <c r="H59" s="103">
        <f t="shared" si="0"/>
        <v>0.38960501575972162</v>
      </c>
    </row>
    <row r="60" spans="1:8">
      <c r="A60">
        <v>47</v>
      </c>
      <c r="B60" s="118">
        <v>0</v>
      </c>
      <c r="C60" s="118">
        <f t="shared" si="2"/>
        <v>-3.5236541752324269E-2</v>
      </c>
      <c r="D60" s="74">
        <f t="shared" si="3"/>
        <v>3.276236132059112E-3</v>
      </c>
      <c r="E60" s="74">
        <f t="shared" si="4"/>
        <v>0.48702629728846247</v>
      </c>
      <c r="F60" s="118">
        <f t="shared" si="5"/>
        <v>1.1127867504805522</v>
      </c>
      <c r="G60" s="118">
        <f t="shared" si="6"/>
        <v>1.138996639537025</v>
      </c>
      <c r="H60" s="103">
        <f t="shared" si="0"/>
        <v>0.18771450305525256</v>
      </c>
    </row>
    <row r="61" spans="1:8">
      <c r="A61">
        <v>48</v>
      </c>
      <c r="B61" s="118">
        <v>0</v>
      </c>
      <c r="C61" s="118">
        <f t="shared" si="2"/>
        <v>-3.5161566587726296E-2</v>
      </c>
      <c r="D61" s="74">
        <f t="shared" si="3"/>
        <v>-2.3992052671351766E-4</v>
      </c>
      <c r="E61" s="74">
        <f t="shared" si="4"/>
        <v>0.48666641649839221</v>
      </c>
      <c r="F61" s="118">
        <f t="shared" si="5"/>
        <v>1.1614533921303913</v>
      </c>
      <c r="G61" s="118">
        <f t="shared" si="6"/>
        <v>1.1595340279166833</v>
      </c>
      <c r="H61" s="103">
        <f t="shared" si="0"/>
        <v>-1.3746433599240285E-2</v>
      </c>
    </row>
    <row r="62" spans="1:8">
      <c r="A62">
        <v>49</v>
      </c>
      <c r="B62" s="118">
        <v>0</v>
      </c>
      <c r="C62" s="118">
        <f t="shared" si="2"/>
        <v>-3.4023361380003225E-2</v>
      </c>
      <c r="D62" s="74">
        <f t="shared" si="3"/>
        <v>-3.6422566647138404E-3</v>
      </c>
      <c r="E62" s="74">
        <f t="shared" si="4"/>
        <v>0.48120303150132143</v>
      </c>
      <c r="F62" s="118">
        <f t="shared" si="5"/>
        <v>1.2095736952805234</v>
      </c>
      <c r="G62" s="118">
        <f t="shared" si="6"/>
        <v>1.1804356419628126</v>
      </c>
      <c r="H62" s="103">
        <f t="shared" si="0"/>
        <v>-0.20868593479149883</v>
      </c>
    </row>
    <row r="63" spans="1:8">
      <c r="A63">
        <v>50</v>
      </c>
      <c r="B63" s="118">
        <v>0</v>
      </c>
      <c r="C63" s="118">
        <f t="shared" si="2"/>
        <v>-3.1888636288271661E-2</v>
      </c>
      <c r="D63" s="74">
        <f t="shared" si="3"/>
        <v>-6.831120293541007E-3</v>
      </c>
      <c r="E63" s="74">
        <f t="shared" si="4"/>
        <v>0.47095635106100991</v>
      </c>
      <c r="F63" s="118">
        <f t="shared" si="5"/>
        <v>1.2566693303866243</v>
      </c>
      <c r="G63" s="118">
        <f t="shared" si="6"/>
        <v>1.2020203680382964</v>
      </c>
      <c r="H63" s="103">
        <f t="shared" si="0"/>
        <v>-0.39139436216606771</v>
      </c>
    </row>
    <row r="64" spans="1:8">
      <c r="A64">
        <v>51</v>
      </c>
      <c r="B64" s="118">
        <v>0</v>
      </c>
      <c r="C64" s="118">
        <f t="shared" si="2"/>
        <v>-2.8852277523917672E-2</v>
      </c>
      <c r="D64" s="74">
        <f t="shared" si="3"/>
        <v>-9.7163480459327746E-3</v>
      </c>
      <c r="E64" s="74">
        <f t="shared" si="4"/>
        <v>0.45638182899211077</v>
      </c>
      <c r="F64" s="118">
        <f t="shared" si="5"/>
        <v>1.3023075132858355</v>
      </c>
      <c r="G64" s="118">
        <f t="shared" si="6"/>
        <v>1.2245767289183733</v>
      </c>
      <c r="H64" s="103">
        <f t="shared" si="0"/>
        <v>-0.55670573531213252</v>
      </c>
    </row>
    <row r="65" spans="1:8">
      <c r="A65">
        <v>52</v>
      </c>
      <c r="B65" s="118">
        <v>0</v>
      </c>
      <c r="C65" s="118">
        <f t="shared" si="2"/>
        <v>-2.5033618191092052E-2</v>
      </c>
      <c r="D65" s="74">
        <f t="shared" si="3"/>
        <v>-1.2219709865041979E-2</v>
      </c>
      <c r="E65" s="74">
        <f t="shared" si="4"/>
        <v>0.43805226419454779</v>
      </c>
      <c r="F65" s="118">
        <f t="shared" si="5"/>
        <v>1.3461127397052903</v>
      </c>
      <c r="G65" s="118">
        <f t="shared" si="6"/>
        <v>1.2483550607849545</v>
      </c>
      <c r="H65" s="103">
        <f t="shared" si="0"/>
        <v>-0.70013780214128218</v>
      </c>
    </row>
    <row r="66" spans="1:8">
      <c r="A66">
        <v>53</v>
      </c>
      <c r="B66" s="118">
        <v>0</v>
      </c>
      <c r="C66" s="118">
        <f t="shared" si="2"/>
        <v>-2.0572081317106843E-2</v>
      </c>
      <c r="D66" s="74">
        <f t="shared" si="3"/>
        <v>-1.4276917996752663E-2</v>
      </c>
      <c r="E66" s="74">
        <f t="shared" si="4"/>
        <v>0.41663688719941883</v>
      </c>
      <c r="F66" s="118">
        <f t="shared" si="5"/>
        <v>1.3877764284252323</v>
      </c>
      <c r="G66" s="118">
        <f t="shared" si="6"/>
        <v>1.2735610844512111</v>
      </c>
      <c r="H66" s="103">
        <f t="shared" si="0"/>
        <v>-0.81800714566829758</v>
      </c>
    </row>
    <row r="67" spans="1:8">
      <c r="A67">
        <v>54</v>
      </c>
      <c r="B67" s="118">
        <v>0</v>
      </c>
      <c r="C67" s="118">
        <f t="shared" si="2"/>
        <v>-1.5622346126663402E-2</v>
      </c>
      <c r="D67" s="74">
        <f t="shared" si="3"/>
        <v>-1.5839152609419004E-2</v>
      </c>
      <c r="E67" s="74">
        <f t="shared" si="4"/>
        <v>0.39287815828529032</v>
      </c>
      <c r="F67" s="118">
        <f t="shared" si="5"/>
        <v>1.4270642442537613</v>
      </c>
      <c r="G67" s="118">
        <f t="shared" si="6"/>
        <v>1.3003510233784092</v>
      </c>
      <c r="H67" s="103">
        <f t="shared" si="0"/>
        <v>-0.90751659558333375</v>
      </c>
    </row>
    <row r="68" spans="1:8">
      <c r="A68">
        <v>55</v>
      </c>
      <c r="B68" s="118">
        <v>0</v>
      </c>
      <c r="C68" s="118">
        <f t="shared" si="2"/>
        <v>-1.0349198483607238E-2</v>
      </c>
      <c r="D68" s="74">
        <f t="shared" si="3"/>
        <v>-1.6874072457779728E-2</v>
      </c>
      <c r="E68" s="74">
        <f t="shared" si="4"/>
        <v>0.36756704959862074</v>
      </c>
      <c r="F68" s="118">
        <f t="shared" si="5"/>
        <v>1.4638209492136234</v>
      </c>
      <c r="G68" s="118">
        <f t="shared" si="6"/>
        <v>1.3288283695513856</v>
      </c>
      <c r="H68" s="103">
        <f t="shared" si="0"/>
        <v>-0.96681313502872246</v>
      </c>
    </row>
    <row r="69" spans="1:8">
      <c r="A69">
        <v>56</v>
      </c>
      <c r="B69" s="118">
        <v>0</v>
      </c>
      <c r="C69" s="118">
        <f t="shared" si="2"/>
        <v>-4.9222311181101319E-3</v>
      </c>
      <c r="D69" s="74">
        <f t="shared" si="3"/>
        <v>-1.736629556959074E-2</v>
      </c>
      <c r="E69" s="74">
        <f t="shared" si="4"/>
        <v>0.34151760624423466</v>
      </c>
      <c r="F69" s="118">
        <f t="shared" si="5"/>
        <v>1.4979727098380469</v>
      </c>
      <c r="G69" s="118">
        <f t="shared" si="6"/>
        <v>1.359042345281321</v>
      </c>
      <c r="H69" s="103">
        <f t="shared" si="0"/>
        <v>-0.99501544191428948</v>
      </c>
    </row>
    <row r="70" spans="1:8">
      <c r="A70">
        <v>57</v>
      </c>
      <c r="B70" s="118">
        <v>0</v>
      </c>
      <c r="C70" s="118">
        <f t="shared" si="2"/>
        <v>4.8944120958736891E-4</v>
      </c>
      <c r="D70" s="74">
        <f t="shared" si="3"/>
        <v>-1.7317351448632001E-2</v>
      </c>
      <c r="E70" s="74">
        <f t="shared" si="4"/>
        <v>0.31554157907128666</v>
      </c>
      <c r="F70" s="118">
        <f t="shared" si="5"/>
        <v>1.5295268677451754</v>
      </c>
      <c r="G70" s="118">
        <f t="shared" si="6"/>
        <v>1.3909880561561194</v>
      </c>
      <c r="H70" s="103">
        <f t="shared" si="0"/>
        <v>-0.99221115035137586</v>
      </c>
    </row>
    <row r="71" spans="1:8">
      <c r="A71">
        <v>58</v>
      </c>
      <c r="B71" s="118">
        <v>0</v>
      </c>
      <c r="C71" s="118">
        <f t="shared" si="2"/>
        <v>5.7222919149429036E-3</v>
      </c>
      <c r="D71" s="74">
        <f t="shared" si="3"/>
        <v>-1.6745122257137712E-2</v>
      </c>
      <c r="E71" s="74">
        <f t="shared" si="4"/>
        <v>0.29042389568558008</v>
      </c>
      <c r="F71" s="118">
        <f t="shared" si="5"/>
        <v>1.5585692573137335</v>
      </c>
      <c r="G71" s="118">
        <f t="shared" si="6"/>
        <v>1.4246082792566319</v>
      </c>
      <c r="H71" s="103">
        <f t="shared" si="0"/>
        <v>-0.9594248327645698</v>
      </c>
    </row>
    <row r="72" spans="1:8">
      <c r="A72">
        <v>59</v>
      </c>
      <c r="B72" s="118">
        <v>0</v>
      </c>
      <c r="C72" s="118">
        <f t="shared" si="2"/>
        <v>1.0623168601501516E-2</v>
      </c>
      <c r="D72" s="74">
        <f t="shared" si="3"/>
        <v>-1.5682805396987558E-2</v>
      </c>
      <c r="E72" s="74">
        <f t="shared" si="4"/>
        <v>0.26689968759009874</v>
      </c>
      <c r="F72" s="118">
        <f t="shared" si="5"/>
        <v>1.5852592260727434</v>
      </c>
      <c r="G72" s="118">
        <f t="shared" si="6"/>
        <v>1.459796782896843</v>
      </c>
      <c r="H72" s="103">
        <f t="shared" si="0"/>
        <v>-0.89855856017237656</v>
      </c>
    </row>
    <row r="73" spans="1:8">
      <c r="A73">
        <v>60</v>
      </c>
      <c r="B73" s="118">
        <v>0</v>
      </c>
      <c r="C73" s="118">
        <f t="shared" si="2"/>
        <v>1.5053619673270428E-2</v>
      </c>
      <c r="D73" s="74">
        <f t="shared" si="3"/>
        <v>-1.4177443429660515E-2</v>
      </c>
      <c r="E73" s="74">
        <f t="shared" si="4"/>
        <v>0.24563352244560796</v>
      </c>
      <c r="F73" s="118">
        <f t="shared" si="5"/>
        <v>1.6098225783173041</v>
      </c>
      <c r="G73" s="118">
        <f t="shared" si="6"/>
        <v>1.49640303088002</v>
      </c>
      <c r="H73" s="103">
        <f t="shared" si="0"/>
        <v>-0.81230767280502647</v>
      </c>
    </row>
    <row r="74" spans="1:8">
      <c r="A74">
        <v>61</v>
      </c>
      <c r="B74" s="118">
        <v>0</v>
      </c>
      <c r="C74" s="118">
        <f t="shared" si="2"/>
        <v>1.8893644358826026E-2</v>
      </c>
      <c r="D74" s="74">
        <f t="shared" si="3"/>
        <v>-1.2288078993777912E-2</v>
      </c>
      <c r="E74" s="74">
        <f t="shared" si="4"/>
        <v>0.22720140395494109</v>
      </c>
      <c r="F74" s="118">
        <f t="shared" si="5"/>
        <v>1.6325427187127983</v>
      </c>
      <c r="G74" s="118">
        <f t="shared" si="6"/>
        <v>1.5342380867625751</v>
      </c>
      <c r="H74" s="103">
        <f t="shared" si="0"/>
        <v>-0.70405506466683776</v>
      </c>
    </row>
    <row r="75" spans="1:8">
      <c r="A75">
        <v>62</v>
      </c>
      <c r="B75" s="118">
        <v>0</v>
      </c>
      <c r="C75" s="118">
        <f t="shared" si="2"/>
        <v>2.2044769982430663E-2</v>
      </c>
      <c r="D75" s="74">
        <f t="shared" si="3"/>
        <v>-1.0083601995534845E-2</v>
      </c>
      <c r="E75" s="74">
        <f t="shared" si="4"/>
        <v>0.21207600096163884</v>
      </c>
      <c r="F75" s="118">
        <f t="shared" si="5"/>
        <v>1.6537503188089622</v>
      </c>
      <c r="G75" s="118">
        <f t="shared" si="6"/>
        <v>1.5730815028446834</v>
      </c>
      <c r="H75" s="103">
        <f t="shared" si="0"/>
        <v>-0.57774783663384144</v>
      </c>
    </row>
    <row r="76" spans="1:8">
      <c r="A76">
        <v>63</v>
      </c>
      <c r="B76" s="118">
        <v>0</v>
      </c>
      <c r="C76" s="118">
        <f t="shared" si="2"/>
        <v>2.4432383617973626E-2</v>
      </c>
      <c r="D76" s="74">
        <f t="shared" si="3"/>
        <v>-7.6403636337374816E-3</v>
      </c>
      <c r="E76" s="74">
        <f t="shared" si="4"/>
        <v>0.2006154555110326</v>
      </c>
      <c r="F76" s="118">
        <f t="shared" si="5"/>
        <v>1.6738118643600655</v>
      </c>
      <c r="G76" s="118">
        <f t="shared" si="6"/>
        <v>1.6126889552901655</v>
      </c>
      <c r="H76" s="103">
        <f t="shared" si="0"/>
        <v>-0.43776059015839519</v>
      </c>
    </row>
    <row r="77" spans="1:8">
      <c r="A77">
        <v>64</v>
      </c>
      <c r="B77" s="118">
        <v>0</v>
      </c>
      <c r="C77" s="118">
        <f t="shared" si="2"/>
        <v>2.6007270064016087E-2</v>
      </c>
      <c r="D77" s="74">
        <f t="shared" si="3"/>
        <v>-5.0396366273358726E-3</v>
      </c>
      <c r="E77" s="74">
        <f t="shared" si="4"/>
        <v>0.19305600057002881</v>
      </c>
      <c r="F77" s="118">
        <f t="shared" si="5"/>
        <v>1.6931174644170683</v>
      </c>
      <c r="G77" s="118">
        <f t="shared" si="6"/>
        <v>1.6528003713983814</v>
      </c>
      <c r="H77" s="103">
        <f t="shared" ref="H77:H140" si="7">D77*360/(2*PI())</f>
        <v>-0.28874990902588998</v>
      </c>
    </row>
    <row r="78" spans="1:8">
      <c r="A78">
        <v>65</v>
      </c>
      <c r="B78" s="118">
        <v>0</v>
      </c>
      <c r="C78" s="118">
        <f t="shared" ref="C78:C141" si="8">$N$8*($G$4*$B$5*D77+C77+$K$4*$B$5*B78)</f>
        <v>2.6746333585511321E-2</v>
      </c>
      <c r="D78" s="74">
        <f t="shared" ref="D78:D141" si="9">$B$5*C78+D77</f>
        <v>-2.3650032687847402E-3</v>
      </c>
      <c r="E78" s="74">
        <f t="shared" ref="E78:E141" si="10">E77+$B$5*$G$2*D78+$B$5*$K$2*B78</f>
        <v>0.18950849566685168</v>
      </c>
      <c r="F78" s="118">
        <f t="shared" ref="F78:F141" si="11">$B$5*E78+F77</f>
        <v>1.7120683139837536</v>
      </c>
      <c r="G78" s="118">
        <f t="shared" ref="G78:G141" si="12">$E$6*F78+$G$6*D78</f>
        <v>1.6931482878334756</v>
      </c>
      <c r="H78" s="103">
        <f t="shared" si="7"/>
        <v>-0.13550470583600946</v>
      </c>
    </row>
    <row r="79" spans="1:8">
      <c r="A79">
        <v>66</v>
      </c>
      <c r="B79" s="118">
        <v>0</v>
      </c>
      <c r="C79" s="118">
        <f t="shared" si="8"/>
        <v>2.6652506285582109E-2</v>
      </c>
      <c r="D79" s="74">
        <f t="shared" si="9"/>
        <v>3.0024735977347101E-4</v>
      </c>
      <c r="E79" s="74">
        <f t="shared" si="10"/>
        <v>0.18995886670651188</v>
      </c>
      <c r="F79" s="118">
        <f t="shared" si="11"/>
        <v>1.7310642006544048</v>
      </c>
      <c r="G79" s="118">
        <f t="shared" si="12"/>
        <v>1.7334661795325925</v>
      </c>
      <c r="H79" s="103">
        <f t="shared" si="7"/>
        <v>1.7202906524965898E-2</v>
      </c>
    </row>
    <row r="80" spans="1:8">
      <c r="A80">
        <v>67</v>
      </c>
      <c r="B80" s="118">
        <v>0</v>
      </c>
      <c r="C80" s="118">
        <f t="shared" si="8"/>
        <v>2.5753870531542204E-2</v>
      </c>
      <c r="D80" s="74">
        <f t="shared" si="9"/>
        <v>2.8756344129276918E-3</v>
      </c>
      <c r="E80" s="74">
        <f t="shared" si="10"/>
        <v>0.19427231832590341</v>
      </c>
      <c r="F80" s="118">
        <f t="shared" si="11"/>
        <v>1.7504914324869951</v>
      </c>
      <c r="G80" s="118">
        <f t="shared" si="12"/>
        <v>1.7734965077904166</v>
      </c>
      <c r="H80" s="103">
        <f t="shared" si="7"/>
        <v>0.16476171528333697</v>
      </c>
    </row>
    <row r="81" spans="1:8">
      <c r="A81">
        <v>68</v>
      </c>
      <c r="B81" s="118">
        <v>0</v>
      </c>
      <c r="C81" s="118">
        <f t="shared" si="8"/>
        <v>2.4102045844850716E-2</v>
      </c>
      <c r="D81" s="74">
        <f t="shared" si="9"/>
        <v>5.2858389974127637E-3</v>
      </c>
      <c r="E81" s="74">
        <f t="shared" si="10"/>
        <v>0.20220107682202257</v>
      </c>
      <c r="F81" s="118">
        <f t="shared" si="11"/>
        <v>1.7707115401691973</v>
      </c>
      <c r="G81" s="118">
        <f t="shared" si="12"/>
        <v>1.8129982521484993</v>
      </c>
      <c r="H81" s="103">
        <f t="shared" si="7"/>
        <v>0.30285626573741381</v>
      </c>
    </row>
    <row r="82" spans="1:8">
      <c r="A82">
        <v>69</v>
      </c>
      <c r="B82" s="118">
        <v>0</v>
      </c>
      <c r="C82" s="118">
        <f t="shared" si="8"/>
        <v>2.1769911426093799E-2</v>
      </c>
      <c r="D82" s="74">
        <f t="shared" si="9"/>
        <v>7.4628301400221433E-3</v>
      </c>
      <c r="E82" s="74">
        <f t="shared" si="10"/>
        <v>0.21339532203205577</v>
      </c>
      <c r="F82" s="118">
        <f t="shared" si="11"/>
        <v>1.7920510723724028</v>
      </c>
      <c r="G82" s="118">
        <f t="shared" si="12"/>
        <v>1.8517537134925799</v>
      </c>
      <c r="H82" s="103">
        <f t="shared" si="7"/>
        <v>0.42758867024629404</v>
      </c>
    </row>
    <row r="83" spans="1:8">
      <c r="A83">
        <v>70</v>
      </c>
      <c r="B83" s="118">
        <v>0</v>
      </c>
      <c r="C83" s="118">
        <f t="shared" si="8"/>
        <v>1.8848753461660001E-2</v>
      </c>
      <c r="D83" s="74">
        <f t="shared" si="9"/>
        <v>9.3477054861881431E-3</v>
      </c>
      <c r="E83" s="74">
        <f t="shared" si="10"/>
        <v>0.22741688026133799</v>
      </c>
      <c r="F83" s="118">
        <f t="shared" si="11"/>
        <v>1.8147927603985365</v>
      </c>
      <c r="G83" s="118">
        <f t="shared" si="12"/>
        <v>1.8895744042880418</v>
      </c>
      <c r="H83" s="103">
        <f t="shared" si="7"/>
        <v>0.53558407248986584</v>
      </c>
    </row>
    <row r="84" spans="1:8">
      <c r="A84">
        <v>71</v>
      </c>
      <c r="B84" s="118">
        <v>0</v>
      </c>
      <c r="C84" s="118">
        <f t="shared" si="8"/>
        <v>1.5444941088219352E-2</v>
      </c>
      <c r="D84" s="74">
        <f t="shared" si="9"/>
        <v>1.0892199595010078E-2</v>
      </c>
      <c r="E84" s="74">
        <f t="shared" si="10"/>
        <v>0.24375517965385313</v>
      </c>
      <c r="F84" s="118">
        <f t="shared" si="11"/>
        <v>1.8391682783639218</v>
      </c>
      <c r="G84" s="118">
        <f t="shared" si="12"/>
        <v>1.9263058751240025</v>
      </c>
      <c r="H84" s="103">
        <f t="shared" si="7"/>
        <v>0.62407706640818206</v>
      </c>
    </row>
    <row r="85" spans="1:8">
      <c r="A85">
        <v>72</v>
      </c>
      <c r="B85" s="118">
        <f t="shared" ref="B85:B92" si="13">$B$7*SIN(2*PI()*A85*$B$9/$B$5)</f>
        <v>-1.7642137750684128E-11</v>
      </c>
      <c r="C85" s="118">
        <f t="shared" si="8"/>
        <v>1.167624602645229E-2</v>
      </c>
      <c r="D85" s="74">
        <f t="shared" si="9"/>
        <v>1.2059824197655307E-2</v>
      </c>
      <c r="E85" s="74">
        <f t="shared" si="10"/>
        <v>0.26184491595033432</v>
      </c>
      <c r="F85" s="118">
        <f t="shared" si="11"/>
        <v>1.8653527699589552</v>
      </c>
      <c r="G85" s="118">
        <f t="shared" si="12"/>
        <v>1.9618313635401976</v>
      </c>
      <c r="H85" s="103">
        <f t="shared" si="7"/>
        <v>0.69097702819539342</v>
      </c>
    </row>
    <row r="86" spans="1:8">
      <c r="A86">
        <v>73</v>
      </c>
      <c r="B86" s="118">
        <f t="shared" si="13"/>
        <v>1.7639969346339157E-11</v>
      </c>
      <c r="C86" s="118">
        <f t="shared" si="8"/>
        <v>7.6679282081791866E-3</v>
      </c>
      <c r="D86" s="74">
        <f t="shared" si="9"/>
        <v>1.2826617018473227E-2</v>
      </c>
      <c r="E86" s="74">
        <f t="shared" si="10"/>
        <v>0.28108484147804591</v>
      </c>
      <c r="F86" s="118">
        <f t="shared" si="11"/>
        <v>1.8934612541067597</v>
      </c>
      <c r="G86" s="118">
        <f t="shared" si="12"/>
        <v>1.9960741902545456</v>
      </c>
      <c r="H86" s="103">
        <f t="shared" si="7"/>
        <v>0.73491102058919144</v>
      </c>
    </row>
    <row r="87" spans="1:8">
      <c r="A87">
        <v>74</v>
      </c>
      <c r="B87" s="118">
        <f t="shared" si="13"/>
        <v>5.2922076443362442E-11</v>
      </c>
      <c r="C87" s="118">
        <f t="shared" si="8"/>
        <v>3.5487131053630466E-3</v>
      </c>
      <c r="D87" s="74">
        <f t="shared" si="9"/>
        <v>1.3181488329009531E-2</v>
      </c>
      <c r="E87" s="74">
        <f t="shared" si="10"/>
        <v>0.30085707397156547</v>
      </c>
      <c r="F87" s="118">
        <f t="shared" si="11"/>
        <v>1.9235469615039162</v>
      </c>
      <c r="G87" s="118">
        <f t="shared" si="12"/>
        <v>2.0289988681359925</v>
      </c>
      <c r="H87" s="103">
        <f t="shared" si="7"/>
        <v>0.75524364895319807</v>
      </c>
    </row>
    <row r="88" spans="1:8">
      <c r="A88">
        <v>75</v>
      </c>
      <c r="B88" s="118">
        <f t="shared" si="13"/>
        <v>-2.5482654181230302E-11</v>
      </c>
      <c r="C88" s="118">
        <f t="shared" si="8"/>
        <v>-5.5321405813538236E-4</v>
      </c>
      <c r="D88" s="74">
        <f t="shared" si="9"/>
        <v>1.3126166923195993E-2</v>
      </c>
      <c r="E88" s="74">
        <f t="shared" si="10"/>
        <v>0.32054632435635688</v>
      </c>
      <c r="F88" s="118">
        <f t="shared" si="11"/>
        <v>1.9556015939395519</v>
      </c>
      <c r="G88" s="118">
        <f t="shared" si="12"/>
        <v>2.06061092932512</v>
      </c>
      <c r="H88" s="103">
        <f t="shared" si="7"/>
        <v>0.75207396588335185</v>
      </c>
    </row>
    <row r="89" spans="1:8">
      <c r="A89">
        <v>76</v>
      </c>
      <c r="B89" s="118">
        <f t="shared" si="13"/>
        <v>-4.7043965945015032E-11</v>
      </c>
      <c r="C89" s="118">
        <f t="shared" si="8"/>
        <v>-4.5140763361294954E-3</v>
      </c>
      <c r="D89" s="74">
        <f t="shared" si="9"/>
        <v>1.2674759289583044E-2</v>
      </c>
      <c r="E89" s="74">
        <f t="shared" si="10"/>
        <v>0.33955846329072675</v>
      </c>
      <c r="F89" s="118">
        <f t="shared" si="11"/>
        <v>1.9895574402686247</v>
      </c>
      <c r="G89" s="118">
        <f t="shared" si="12"/>
        <v>2.0909555145852892</v>
      </c>
      <c r="H89" s="103">
        <f t="shared" si="7"/>
        <v>0.72621021363734206</v>
      </c>
    </row>
    <row r="90" spans="1:8">
      <c r="A90">
        <v>77</v>
      </c>
      <c r="B90" s="118">
        <f t="shared" si="13"/>
        <v>-1.1761858847991746E-11</v>
      </c>
      <c r="C90" s="118">
        <f t="shared" si="8"/>
        <v>-8.2181222924839273E-3</v>
      </c>
      <c r="D90" s="74">
        <f t="shared" si="9"/>
        <v>1.1852947060334651E-2</v>
      </c>
      <c r="E90" s="74">
        <f t="shared" si="10"/>
        <v>0.35733788388122756</v>
      </c>
      <c r="F90" s="118">
        <f t="shared" si="11"/>
        <v>2.0252912286567475</v>
      </c>
      <c r="G90" s="118">
        <f t="shared" si="12"/>
        <v>2.1201148051394245</v>
      </c>
      <c r="H90" s="103">
        <f t="shared" si="7"/>
        <v>0.67912384134917148</v>
      </c>
    </row>
    <row r="91" spans="1:8">
      <c r="A91">
        <v>78</v>
      </c>
      <c r="B91" s="118">
        <f t="shared" si="13"/>
        <v>-3.3323170611776476E-11</v>
      </c>
      <c r="C91" s="118">
        <f t="shared" si="8"/>
        <v>-1.1560890423115724E-2</v>
      </c>
      <c r="D91" s="74">
        <f t="shared" si="9"/>
        <v>1.069685801802308E-2</v>
      </c>
      <c r="E91" s="74">
        <f t="shared" si="10"/>
        <v>0.37338317090825884</v>
      </c>
      <c r="F91" s="118">
        <f t="shared" si="11"/>
        <v>2.0626295457475732</v>
      </c>
      <c r="G91" s="118">
        <f t="shared" si="12"/>
        <v>2.1482044098917576</v>
      </c>
      <c r="H91" s="103">
        <f t="shared" si="7"/>
        <v>0.61288481848339715</v>
      </c>
    </row>
    <row r="92" spans="1:8">
      <c r="A92">
        <v>79</v>
      </c>
      <c r="B92" s="118">
        <f t="shared" si="13"/>
        <v>1.9589364852468094E-12</v>
      </c>
      <c r="C92" s="118">
        <f t="shared" si="8"/>
        <v>-1.445203253696772E-2</v>
      </c>
      <c r="D92" s="74">
        <f t="shared" si="9"/>
        <v>9.2516547643263069E-3</v>
      </c>
      <c r="E92" s="74">
        <f t="shared" si="10"/>
        <v>0.38726065305474855</v>
      </c>
      <c r="F92" s="118">
        <f t="shared" si="11"/>
        <v>2.101355611053048</v>
      </c>
      <c r="G92" s="118">
        <f t="shared" si="12"/>
        <v>2.1753688491676586</v>
      </c>
      <c r="H92" s="103">
        <f t="shared" si="7"/>
        <v>0.53008077150799771</v>
      </c>
    </row>
    <row r="93" spans="1:8">
      <c r="A93">
        <v>80</v>
      </c>
      <c r="B93" s="118">
        <v>0</v>
      </c>
      <c r="C93" s="118">
        <f t="shared" si="8"/>
        <v>-1.6817623903825157E-2</v>
      </c>
      <c r="D93" s="74">
        <f t="shared" si="9"/>
        <v>7.5698923739437908E-3</v>
      </c>
      <c r="E93" s="74">
        <f t="shared" si="10"/>
        <v>0.39861549161566423</v>
      </c>
      <c r="F93" s="118">
        <f t="shared" si="11"/>
        <v>2.1412171602146146</v>
      </c>
      <c r="G93" s="118">
        <f t="shared" si="12"/>
        <v>2.2017762992061649</v>
      </c>
      <c r="H93" s="103">
        <f t="shared" si="7"/>
        <v>0.43372288439524675</v>
      </c>
    </row>
    <row r="94" spans="1:8">
      <c r="A94">
        <v>81</v>
      </c>
      <c r="B94" s="118">
        <v>0</v>
      </c>
      <c r="C94" s="118">
        <f t="shared" si="8"/>
        <v>-1.8601905717025542E-2</v>
      </c>
      <c r="D94" s="74">
        <f t="shared" si="9"/>
        <v>5.7097018022412363E-3</v>
      </c>
      <c r="E94" s="74">
        <f t="shared" si="10"/>
        <v>0.4071800443190261</v>
      </c>
      <c r="F94" s="118">
        <f t="shared" si="11"/>
        <v>2.181935164646517</v>
      </c>
      <c r="G94" s="118">
        <f t="shared" si="12"/>
        <v>2.2276127790644469</v>
      </c>
      <c r="H94" s="103">
        <f t="shared" si="7"/>
        <v>0.32714181554666266</v>
      </c>
    </row>
    <row r="95" spans="1:8">
      <c r="A95">
        <v>82</v>
      </c>
      <c r="B95" s="118">
        <v>0</v>
      </c>
      <c r="C95" s="118">
        <f t="shared" si="8"/>
        <v>-1.9768424271734236E-2</v>
      </c>
      <c r="D95" s="74">
        <f t="shared" si="9"/>
        <v>3.7328593750678126E-3</v>
      </c>
      <c r="E95" s="74">
        <f t="shared" si="10"/>
        <v>0.41277933338162781</v>
      </c>
      <c r="F95" s="118">
        <f t="shared" si="11"/>
        <v>2.2232130979846798</v>
      </c>
      <c r="G95" s="118">
        <f t="shared" si="12"/>
        <v>2.2530759729852221</v>
      </c>
      <c r="H95" s="103">
        <f t="shared" si="7"/>
        <v>0.21387708770722766</v>
      </c>
    </row>
    <row r="96" spans="1:8">
      <c r="A96">
        <v>83</v>
      </c>
      <c r="B96" s="118">
        <v>0</v>
      </c>
      <c r="C96" s="118">
        <f t="shared" si="8"/>
        <v>-2.0300550619581019E-2</v>
      </c>
      <c r="D96" s="74">
        <f t="shared" si="9"/>
        <v>1.7028043131097105E-3</v>
      </c>
      <c r="E96" s="74">
        <f t="shared" si="10"/>
        <v>0.4153335398512924</v>
      </c>
      <c r="F96" s="118">
        <f t="shared" si="11"/>
        <v>2.2647464519698088</v>
      </c>
      <c r="G96" s="118">
        <f t="shared" si="12"/>
        <v>2.2783688864746865</v>
      </c>
      <c r="H96" s="103">
        <f t="shared" si="7"/>
        <v>9.7563500477859569E-2</v>
      </c>
    </row>
    <row r="97" spans="1:8">
      <c r="A97">
        <v>84</v>
      </c>
      <c r="B97" s="118">
        <v>0</v>
      </c>
      <c r="C97" s="118">
        <f t="shared" si="8"/>
        <v>-2.0201383725990597E-2</v>
      </c>
      <c r="D97" s="74">
        <f t="shared" si="9"/>
        <v>-3.1733405948934949E-4</v>
      </c>
      <c r="E97" s="74">
        <f t="shared" si="10"/>
        <v>0.41485753876205839</v>
      </c>
      <c r="F97" s="118">
        <f t="shared" si="11"/>
        <v>2.3062322058460145</v>
      </c>
      <c r="G97" s="118">
        <f t="shared" si="12"/>
        <v>2.3036935333700996</v>
      </c>
      <c r="H97" s="103">
        <f t="shared" si="7"/>
        <v>-1.8181902304493118E-2</v>
      </c>
    </row>
    <row r="98" spans="1:8">
      <c r="A98">
        <v>85</v>
      </c>
      <c r="B98" s="118">
        <v>0</v>
      </c>
      <c r="C98" s="118">
        <f t="shared" si="8"/>
        <v>-1.9493058746569869E-2</v>
      </c>
      <c r="D98" s="74">
        <f t="shared" si="9"/>
        <v>-2.2666399341463367E-3</v>
      </c>
      <c r="E98" s="74">
        <f t="shared" si="10"/>
        <v>0.41145757886083889</v>
      </c>
      <c r="F98" s="118">
        <f t="shared" si="11"/>
        <v>2.3473779637320984</v>
      </c>
      <c r="G98" s="118">
        <f t="shared" si="12"/>
        <v>2.3292448442589277</v>
      </c>
      <c r="H98" s="103">
        <f t="shared" si="7"/>
        <v>-0.12986890190239594</v>
      </c>
    </row>
    <row r="99" spans="1:8">
      <c r="A99">
        <v>86</v>
      </c>
      <c r="B99" s="118">
        <v>0</v>
      </c>
      <c r="C99" s="118">
        <f t="shared" si="8"/>
        <v>-1.821549941056886E-2</v>
      </c>
      <c r="D99" s="74">
        <f t="shared" si="9"/>
        <v>-4.0881898752032231E-3</v>
      </c>
      <c r="E99" s="74">
        <f t="shared" si="10"/>
        <v>0.40532529404803408</v>
      </c>
      <c r="F99" s="118">
        <f t="shared" si="11"/>
        <v>2.3879104931369017</v>
      </c>
      <c r="G99" s="118">
        <f t="shared" si="12"/>
        <v>2.3552049741352761</v>
      </c>
      <c r="H99" s="103">
        <f t="shared" si="7"/>
        <v>-0.2342360256972594</v>
      </c>
    </row>
    <row r="100" spans="1:8">
      <c r="A100">
        <v>87</v>
      </c>
      <c r="B100" s="118">
        <v>0</v>
      </c>
      <c r="C100" s="118">
        <f t="shared" si="8"/>
        <v>-1.6424669163217314E-2</v>
      </c>
      <c r="D100" s="74">
        <f t="shared" si="9"/>
        <v>-5.7306567915249547E-3</v>
      </c>
      <c r="E100" s="74">
        <f t="shared" si="10"/>
        <v>0.39672930886074664</v>
      </c>
      <c r="F100" s="118">
        <f t="shared" si="11"/>
        <v>2.4275834240229766</v>
      </c>
      <c r="G100" s="118">
        <f t="shared" si="12"/>
        <v>2.3817381696907769</v>
      </c>
      <c r="H100" s="103">
        <f t="shared" si="7"/>
        <v>-0.32834244799236156</v>
      </c>
    </row>
    <row r="101" spans="1:8">
      <c r="A101">
        <v>88</v>
      </c>
      <c r="B101" s="118">
        <v>0</v>
      </c>
      <c r="C101" s="118">
        <f t="shared" si="8"/>
        <v>-1.4190389251748621E-2</v>
      </c>
      <c r="D101" s="74">
        <f t="shared" si="9"/>
        <v>-7.1496957166998169E-3</v>
      </c>
      <c r="E101" s="74">
        <f t="shared" si="10"/>
        <v>0.38600476528569694</v>
      </c>
      <c r="F101" s="118">
        <f t="shared" si="11"/>
        <v>2.4661839005515462</v>
      </c>
      <c r="G101" s="118">
        <f t="shared" si="12"/>
        <v>2.4089863348179477</v>
      </c>
      <c r="H101" s="103">
        <f t="shared" si="7"/>
        <v>-0.40964738936966183</v>
      </c>
    </row>
    <row r="102" spans="1:8">
      <c r="A102">
        <v>89</v>
      </c>
      <c r="B102" s="118">
        <v>0</v>
      </c>
      <c r="C102" s="118">
        <f t="shared" si="8"/>
        <v>-1.1593802996635082E-2</v>
      </c>
      <c r="D102" s="74">
        <f t="shared" si="9"/>
        <v>-8.3090760163633259E-3</v>
      </c>
      <c r="E102" s="74">
        <f t="shared" si="10"/>
        <v>0.37354115126115195</v>
      </c>
      <c r="F102" s="118">
        <f t="shared" si="11"/>
        <v>2.5035380156776617</v>
      </c>
      <c r="G102" s="118">
        <f t="shared" si="12"/>
        <v>2.437065407546755</v>
      </c>
      <c r="H102" s="103">
        <f t="shared" si="7"/>
        <v>-0.47607498739099352</v>
      </c>
    </row>
    <row r="103" spans="1:8">
      <c r="A103">
        <v>90</v>
      </c>
      <c r="B103" s="118">
        <v>0</v>
      </c>
      <c r="C103" s="118">
        <f t="shared" si="8"/>
        <v>-8.724573809960284E-3</v>
      </c>
      <c r="D103" s="74">
        <f t="shared" si="9"/>
        <v>-9.1815333973593542E-3</v>
      </c>
      <c r="E103" s="74">
        <f t="shared" si="10"/>
        <v>0.35976885116511292</v>
      </c>
      <c r="F103" s="118">
        <f t="shared" si="11"/>
        <v>2.5395149007941731</v>
      </c>
      <c r="G103" s="118">
        <f t="shared" si="12"/>
        <v>2.4660626336152984</v>
      </c>
      <c r="H103" s="103">
        <f t="shared" si="7"/>
        <v>-0.52606311312710319</v>
      </c>
    </row>
    <row r="104" spans="1:8">
      <c r="A104">
        <v>91</v>
      </c>
      <c r="B104" s="118">
        <v>0</v>
      </c>
      <c r="C104" s="118">
        <f t="shared" si="8"/>
        <v>-5.6779099377313805E-3</v>
      </c>
      <c r="D104" s="74">
        <f t="shared" si="9"/>
        <v>-9.7493243911324929E-3</v>
      </c>
      <c r="E104" s="74">
        <f t="shared" si="10"/>
        <v>0.3451448645784142</v>
      </c>
      <c r="F104" s="118">
        <f t="shared" si="11"/>
        <v>2.5740293872520144</v>
      </c>
      <c r="G104" s="118">
        <f t="shared" si="12"/>
        <v>2.4960347921229542</v>
      </c>
      <c r="H104" s="103">
        <f t="shared" si="7"/>
        <v>-0.55859514071584293</v>
      </c>
    </row>
    <row r="105" spans="1:8">
      <c r="A105">
        <v>92</v>
      </c>
      <c r="B105" s="118">
        <v>0</v>
      </c>
      <c r="C105" s="118">
        <f t="shared" si="8"/>
        <v>-2.5515113362448256E-3</v>
      </c>
      <c r="D105" s="74">
        <f t="shared" si="9"/>
        <v>-1.0004475524756976E-2</v>
      </c>
      <c r="E105" s="74">
        <f t="shared" si="10"/>
        <v>0.33013815129127871</v>
      </c>
      <c r="F105" s="118">
        <f t="shared" si="11"/>
        <v>2.6070432023811421</v>
      </c>
      <c r="G105" s="118">
        <f t="shared" si="12"/>
        <v>2.5270073981830863</v>
      </c>
      <c r="H105" s="103">
        <f t="shared" si="7"/>
        <v>-0.57321422381050424</v>
      </c>
    </row>
    <row r="106" spans="1:8">
      <c r="A106">
        <v>93</v>
      </c>
      <c r="B106" s="118">
        <v>0</v>
      </c>
      <c r="C106" s="118">
        <f t="shared" si="8"/>
        <v>5.5746643902228289E-4</v>
      </c>
      <c r="D106" s="74">
        <f t="shared" si="9"/>
        <v>-9.9487288808547472E-3</v>
      </c>
      <c r="E106" s="74">
        <f t="shared" si="10"/>
        <v>0.3152150579699966</v>
      </c>
      <c r="F106" s="118">
        <f t="shared" si="11"/>
        <v>2.6385647081781416</v>
      </c>
      <c r="G106" s="118">
        <f t="shared" si="12"/>
        <v>2.5589748771313037</v>
      </c>
      <c r="H106" s="103">
        <f t="shared" si="7"/>
        <v>-0.57002017639288793</v>
      </c>
    </row>
    <row r="107" spans="1:8">
      <c r="A107">
        <v>94</v>
      </c>
      <c r="B107" s="118">
        <v>0</v>
      </c>
      <c r="C107" s="118">
        <f t="shared" si="8"/>
        <v>3.5553398441594102E-3</v>
      </c>
      <c r="D107" s="74">
        <f t="shared" si="9"/>
        <v>-9.5931948964388062E-3</v>
      </c>
      <c r="E107" s="74">
        <f t="shared" si="10"/>
        <v>0.3008252656253384</v>
      </c>
      <c r="F107" s="118">
        <f t="shared" si="11"/>
        <v>2.6686472347406753</v>
      </c>
      <c r="G107" s="118">
        <f t="shared" si="12"/>
        <v>2.5919016755691651</v>
      </c>
      <c r="H107" s="103">
        <f t="shared" si="7"/>
        <v>-0.54964957961238448</v>
      </c>
    </row>
    <row r="108" spans="1:8">
      <c r="A108">
        <v>95</v>
      </c>
      <c r="B108" s="118">
        <v>0</v>
      </c>
      <c r="C108" s="118">
        <f t="shared" si="8"/>
        <v>6.3546310296208842E-3</v>
      </c>
      <c r="D108" s="74">
        <f t="shared" si="9"/>
        <v>-8.9577317934767184E-3</v>
      </c>
      <c r="E108" s="74">
        <f t="shared" si="10"/>
        <v>0.2873886679351233</v>
      </c>
      <c r="F108" s="118">
        <f t="shared" si="11"/>
        <v>2.6973861015341876</v>
      </c>
      <c r="G108" s="118">
        <f t="shared" si="12"/>
        <v>2.625724247186374</v>
      </c>
      <c r="H108" s="103">
        <f t="shared" si="7"/>
        <v>-0.51324022577636952</v>
      </c>
    </row>
    <row r="109" spans="1:8">
      <c r="A109">
        <v>96</v>
      </c>
      <c r="B109" s="118">
        <v>0</v>
      </c>
      <c r="C109" s="118">
        <f t="shared" si="8"/>
        <v>8.8765306328071353E-3</v>
      </c>
      <c r="D109" s="74">
        <f t="shared" si="9"/>
        <v>-8.0700787301960057E-3</v>
      </c>
      <c r="E109" s="74">
        <f t="shared" si="10"/>
        <v>0.27528354983982928</v>
      </c>
      <c r="F109" s="118">
        <f t="shared" si="11"/>
        <v>2.7249144565181704</v>
      </c>
      <c r="G109" s="118">
        <f t="shared" si="12"/>
        <v>2.6603538266766025</v>
      </c>
      <c r="H109" s="103">
        <f t="shared" si="7"/>
        <v>-0.46238145157852567</v>
      </c>
    </row>
    <row r="110" spans="1:8">
      <c r="A110">
        <v>97</v>
      </c>
      <c r="B110" s="118">
        <v>0</v>
      </c>
      <c r="C110" s="118">
        <f t="shared" si="8"/>
        <v>1.1053023259145103E-2</v>
      </c>
      <c r="D110" s="74">
        <f t="shared" si="9"/>
        <v>-6.9647764042814952E-3</v>
      </c>
      <c r="E110" s="74">
        <f t="shared" si="10"/>
        <v>0.26483638523340702</v>
      </c>
      <c r="F110" s="118">
        <f t="shared" si="11"/>
        <v>2.7513980950415111</v>
      </c>
      <c r="G110" s="118">
        <f t="shared" si="12"/>
        <v>2.6956798838072591</v>
      </c>
      <c r="H110" s="103">
        <f t="shared" si="7"/>
        <v>-0.39905229321763086</v>
      </c>
    </row>
    <row r="111" spans="1:8">
      <c r="A111">
        <v>98</v>
      </c>
      <c r="B111" s="118">
        <v>0</v>
      </c>
      <c r="C111" s="118">
        <f t="shared" si="8"/>
        <v>1.2828621464710855E-2</v>
      </c>
      <c r="D111" s="74">
        <f t="shared" si="9"/>
        <v>-5.6819142578104099E-3</v>
      </c>
      <c r="E111" s="74">
        <f t="shared" si="10"/>
        <v>0.25631351384669143</v>
      </c>
      <c r="F111" s="118">
        <f t="shared" si="11"/>
        <v>2.7770294464261802</v>
      </c>
      <c r="G111" s="118">
        <f t="shared" si="12"/>
        <v>2.7315741323636971</v>
      </c>
      <c r="H111" s="103">
        <f t="shared" si="7"/>
        <v>-0.32554970652774406</v>
      </c>
    </row>
    <row r="112" spans="1:8">
      <c r="A112">
        <v>99</v>
      </c>
      <c r="B112" s="118">
        <v>0</v>
      </c>
      <c r="C112" s="118">
        <f t="shared" si="8"/>
        <v>1.4161667559056106E-2</v>
      </c>
      <c r="D112" s="74">
        <f t="shared" si="9"/>
        <v>-4.2657475019047993E-3</v>
      </c>
      <c r="E112" s="74">
        <f t="shared" si="10"/>
        <v>0.24991489259383423</v>
      </c>
      <c r="F112" s="118">
        <f t="shared" si="11"/>
        <v>2.8020209356855634</v>
      </c>
      <c r="G112" s="118">
        <f t="shared" si="12"/>
        <v>2.7678949556703252</v>
      </c>
      <c r="H112" s="103">
        <f t="shared" si="7"/>
        <v>-0.24440932832761908</v>
      </c>
    </row>
    <row r="113" spans="1:8">
      <c r="A113">
        <v>100</v>
      </c>
      <c r="B113" s="118">
        <v>0</v>
      </c>
      <c r="C113" s="118">
        <f t="shared" si="8"/>
        <v>1.5025176876025557E-2</v>
      </c>
      <c r="D113" s="74">
        <f t="shared" si="9"/>
        <v>-2.7632298143022435E-3</v>
      </c>
      <c r="E113" s="74">
        <f t="shared" si="10"/>
        <v>0.24577004787238085</v>
      </c>
      <c r="F113" s="118">
        <f t="shared" si="11"/>
        <v>2.8265979404728014</v>
      </c>
      <c r="G113" s="118">
        <f t="shared" si="12"/>
        <v>2.8044921019583833</v>
      </c>
      <c r="H113" s="103">
        <f t="shared" si="7"/>
        <v>-0.15832140618423676</v>
      </c>
    </row>
    <row r="114" spans="1:8">
      <c r="A114">
        <v>101</v>
      </c>
      <c r="B114" s="118">
        <v>0</v>
      </c>
      <c r="C114" s="118">
        <f t="shared" si="8"/>
        <v>1.5407210853813342E-2</v>
      </c>
      <c r="D114" s="74">
        <f t="shared" si="9"/>
        <v>-1.2225087289209093E-3</v>
      </c>
      <c r="E114" s="74">
        <f t="shared" si="10"/>
        <v>0.24393628477899948</v>
      </c>
      <c r="F114" s="118">
        <f t="shared" si="11"/>
        <v>2.8509915689507013</v>
      </c>
      <c r="G114" s="118">
        <f t="shared" si="12"/>
        <v>2.8412114991193338</v>
      </c>
      <c r="H114" s="103">
        <f t="shared" si="7"/>
        <v>-7.004459058507094E-2</v>
      </c>
    </row>
    <row r="115" spans="1:8">
      <c r="A115">
        <v>102</v>
      </c>
      <c r="B115" s="118">
        <v>0</v>
      </c>
      <c r="C115" s="118">
        <f t="shared" si="8"/>
        <v>1.5310782867007152E-2</v>
      </c>
      <c r="D115" s="74">
        <f t="shared" si="9"/>
        <v>3.0856955777980592E-4</v>
      </c>
      <c r="E115" s="74">
        <f t="shared" si="10"/>
        <v>0.24439913911566918</v>
      </c>
      <c r="F115" s="118">
        <f t="shared" si="11"/>
        <v>2.8754314828622682</v>
      </c>
      <c r="G115" s="118">
        <f t="shared" si="12"/>
        <v>2.8779000393245067</v>
      </c>
      <c r="H115" s="103">
        <f t="shared" si="7"/>
        <v>1.7679733347001077E-2</v>
      </c>
    </row>
    <row r="116" spans="1:8">
      <c r="A116">
        <v>103</v>
      </c>
      <c r="B116" s="118">
        <v>0</v>
      </c>
      <c r="C116" s="118">
        <f t="shared" si="8"/>
        <v>1.4753313823225176E-2</v>
      </c>
      <c r="D116" s="74">
        <f t="shared" si="9"/>
        <v>1.7839009401023236E-3</v>
      </c>
      <c r="E116" s="74">
        <f t="shared" si="10"/>
        <v>0.24707499052582266</v>
      </c>
      <c r="F116" s="118">
        <f t="shared" si="11"/>
        <v>2.9001389819148504</v>
      </c>
      <c r="G116" s="118">
        <f t="shared" si="12"/>
        <v>2.9144101894356691</v>
      </c>
      <c r="H116" s="103">
        <f t="shared" si="7"/>
        <v>0.10220999493728301</v>
      </c>
    </row>
    <row r="117" spans="1:8">
      <c r="A117">
        <v>104</v>
      </c>
      <c r="B117" s="118">
        <v>0</v>
      </c>
      <c r="C117" s="118">
        <f t="shared" si="8"/>
        <v>1.3765667664914619E-2</v>
      </c>
      <c r="D117" s="74">
        <f t="shared" si="9"/>
        <v>3.1604677065937854E-3</v>
      </c>
      <c r="E117" s="74">
        <f t="shared" si="10"/>
        <v>0.25181569208571336</v>
      </c>
      <c r="F117" s="118">
        <f t="shared" si="11"/>
        <v>2.9253205511234217</v>
      </c>
      <c r="G117" s="118">
        <f t="shared" si="12"/>
        <v>2.950604292776172</v>
      </c>
      <c r="H117" s="103">
        <f t="shared" si="7"/>
        <v>0.18108146087521448</v>
      </c>
    </row>
    <row r="118" spans="1:8">
      <c r="A118">
        <v>105</v>
      </c>
      <c r="B118" s="118">
        <v>0</v>
      </c>
      <c r="C118" s="118">
        <f t="shared" si="8"/>
        <v>1.2390808733676666E-2</v>
      </c>
      <c r="D118" s="74">
        <f t="shared" si="9"/>
        <v>4.3995485799614518E-3</v>
      </c>
      <c r="E118" s="74">
        <f t="shared" si="10"/>
        <v>0.25841501495565555</v>
      </c>
      <c r="F118" s="118">
        <f t="shared" si="11"/>
        <v>2.9511620526189875</v>
      </c>
      <c r="G118" s="118">
        <f t="shared" si="12"/>
        <v>2.986358441258679</v>
      </c>
      <c r="H118" s="103">
        <f t="shared" si="7"/>
        <v>0.25207556539456577</v>
      </c>
    </row>
    <row r="119" spans="1:8">
      <c r="A119">
        <v>106</v>
      </c>
      <c r="B119" s="118">
        <v>0</v>
      </c>
      <c r="C119" s="118">
        <f t="shared" si="8"/>
        <v>1.0682133141758752E-2</v>
      </c>
      <c r="D119" s="74">
        <f t="shared" si="9"/>
        <v>5.4677618941373273E-3</v>
      </c>
      <c r="E119" s="74">
        <f t="shared" si="10"/>
        <v>0.26661665779686156</v>
      </c>
      <c r="F119" s="118">
        <f t="shared" si="11"/>
        <v>2.9778237183986738</v>
      </c>
      <c r="G119" s="118">
        <f t="shared" si="12"/>
        <v>3.0215658135517725</v>
      </c>
      <c r="H119" s="103">
        <f t="shared" si="7"/>
        <v>0.31327967991652567</v>
      </c>
    </row>
    <row r="120" spans="1:8">
      <c r="A120">
        <v>107</v>
      </c>
      <c r="B120" s="118">
        <v>0</v>
      </c>
      <c r="C120" s="118">
        <f t="shared" si="8"/>
        <v>8.7015345937850545E-3</v>
      </c>
      <c r="D120" s="74">
        <f t="shared" si="9"/>
        <v>6.3379153535158324E-3</v>
      </c>
      <c r="E120" s="74">
        <f t="shared" si="10"/>
        <v>0.27612353082713531</v>
      </c>
      <c r="F120" s="118">
        <f t="shared" si="11"/>
        <v>3.0054360714813875</v>
      </c>
      <c r="G120" s="118">
        <f t="shared" si="12"/>
        <v>3.0561393943095143</v>
      </c>
      <c r="H120" s="103">
        <f t="shared" si="7"/>
        <v>0.36313580066762235</v>
      </c>
    </row>
    <row r="121" spans="1:8">
      <c r="A121">
        <v>108</v>
      </c>
      <c r="B121" s="118">
        <v>0</v>
      </c>
      <c r="C121" s="118">
        <f t="shared" si="8"/>
        <v>6.5172713171504065E-3</v>
      </c>
      <c r="D121" s="74">
        <f t="shared" si="9"/>
        <v>6.9896424852308736E-3</v>
      </c>
      <c r="E121" s="74">
        <f t="shared" si="10"/>
        <v>0.28660799455498165</v>
      </c>
      <c r="F121" s="118">
        <f t="shared" si="11"/>
        <v>3.0340968709368856</v>
      </c>
      <c r="G121" s="118">
        <f t="shared" si="12"/>
        <v>3.0900140108187326</v>
      </c>
      <c r="H121" s="103">
        <f t="shared" si="7"/>
        <v>0.40047701470906089</v>
      </c>
    </row>
    <row r="122" spans="1:8">
      <c r="A122">
        <v>109</v>
      </c>
      <c r="B122" s="118">
        <v>0</v>
      </c>
      <c r="C122" s="118">
        <f t="shared" si="8"/>
        <v>4.2017047665607356E-3</v>
      </c>
      <c r="D122" s="74">
        <f t="shared" si="9"/>
        <v>7.4098129618869468E-3</v>
      </c>
      <c r="E122" s="74">
        <f t="shared" si="10"/>
        <v>0.29772271399781208</v>
      </c>
      <c r="F122" s="118">
        <f t="shared" si="11"/>
        <v>3.0638691423366669</v>
      </c>
      <c r="G122" s="118">
        <f t="shared" si="12"/>
        <v>3.1231476460317626</v>
      </c>
      <c r="H122" s="103">
        <f t="shared" si="7"/>
        <v>0.42455100969745396</v>
      </c>
    </row>
    <row r="123" spans="1:8">
      <c r="A123">
        <v>110</v>
      </c>
      <c r="B123" s="118">
        <v>0</v>
      </c>
      <c r="C123" s="118">
        <f t="shared" si="8"/>
        <v>1.8289825124567902E-3</v>
      </c>
      <c r="D123" s="74">
        <f t="shared" si="9"/>
        <v>7.5927112131326255E-3</v>
      </c>
      <c r="E123" s="74">
        <f t="shared" si="10"/>
        <v>0.30911178081751101</v>
      </c>
      <c r="F123" s="118">
        <f t="shared" si="11"/>
        <v>3.0947803204184181</v>
      </c>
      <c r="G123" s="118">
        <f t="shared" si="12"/>
        <v>3.1555220101234793</v>
      </c>
      <c r="H123" s="103">
        <f t="shared" si="7"/>
        <v>0.43503030757415473</v>
      </c>
    </row>
    <row r="124" spans="1:8">
      <c r="A124">
        <v>111</v>
      </c>
      <c r="B124" s="118">
        <v>0</v>
      </c>
      <c r="C124" s="118">
        <f t="shared" si="8"/>
        <v>-5.2726277977905992E-4</v>
      </c>
      <c r="D124" s="74">
        <f t="shared" si="9"/>
        <v>7.5399849351547197E-3</v>
      </c>
      <c r="E124" s="74">
        <f t="shared" si="10"/>
        <v>0.3204217582202431</v>
      </c>
      <c r="F124" s="118">
        <f t="shared" si="11"/>
        <v>3.1268224962404423</v>
      </c>
      <c r="G124" s="118">
        <f t="shared" si="12"/>
        <v>3.1871423757216801</v>
      </c>
      <c r="H124" s="103">
        <f t="shared" si="7"/>
        <v>0.43200931437658713</v>
      </c>
    </row>
    <row r="125" spans="1:8">
      <c r="A125">
        <v>112</v>
      </c>
      <c r="B125" s="118">
        <v>0</v>
      </c>
      <c r="C125" s="118">
        <f t="shared" si="8"/>
        <v>-2.7961290395296097E-3</v>
      </c>
      <c r="D125" s="74">
        <f t="shared" si="9"/>
        <v>7.2603720312017584E-3</v>
      </c>
      <c r="E125" s="74">
        <f t="shared" si="10"/>
        <v>0.33131231626704571</v>
      </c>
      <c r="F125" s="118">
        <f t="shared" si="11"/>
        <v>3.1599537278671468</v>
      </c>
      <c r="G125" s="118">
        <f t="shared" si="12"/>
        <v>3.218036704116761</v>
      </c>
      <c r="H125" s="103">
        <f t="shared" si="7"/>
        <v>0.41598867508268561</v>
      </c>
    </row>
    <row r="126" spans="1:8">
      <c r="A126">
        <v>113</v>
      </c>
      <c r="B126" s="118">
        <v>0</v>
      </c>
      <c r="C126" s="118">
        <f t="shared" si="8"/>
        <v>-4.9115105932413666E-3</v>
      </c>
      <c r="D126" s="74">
        <f t="shared" si="9"/>
        <v>6.7692209718776221E-3</v>
      </c>
      <c r="E126" s="74">
        <f t="shared" si="10"/>
        <v>0.34146614772486217</v>
      </c>
      <c r="F126" s="118">
        <f t="shared" si="11"/>
        <v>3.1941003426396328</v>
      </c>
      <c r="G126" s="118">
        <f t="shared" si="12"/>
        <v>3.2482541104146536</v>
      </c>
      <c r="H126" s="103">
        <f t="shared" si="7"/>
        <v>0.38784779228003308</v>
      </c>
    </row>
    <row r="127" spans="1:8">
      <c r="A127">
        <v>114</v>
      </c>
      <c r="B127" s="118">
        <v>0</v>
      </c>
      <c r="C127" s="118">
        <f t="shared" si="8"/>
        <v>-6.8139560212878772E-3</v>
      </c>
      <c r="D127" s="74">
        <f t="shared" si="9"/>
        <v>6.0878253697488338E-3</v>
      </c>
      <c r="E127" s="74">
        <f t="shared" si="10"/>
        <v>0.35059788577948542</v>
      </c>
      <c r="F127" s="118">
        <f t="shared" si="11"/>
        <v>3.2291601312175815</v>
      </c>
      <c r="G127" s="118">
        <f t="shared" si="12"/>
        <v>3.2778627341755722</v>
      </c>
      <c r="H127" s="103">
        <f t="shared" si="7"/>
        <v>0.34880670009927806</v>
      </c>
    </row>
    <row r="128" spans="1:8">
      <c r="A128">
        <v>115</v>
      </c>
      <c r="B128" s="118">
        <v>0</v>
      </c>
      <c r="C128" s="118">
        <f t="shared" si="8"/>
        <v>-8.4522680720818307E-3</v>
      </c>
      <c r="D128" s="74">
        <f t="shared" si="9"/>
        <v>5.2425985625406506E-3</v>
      </c>
      <c r="E128" s="74">
        <f t="shared" si="10"/>
        <v>0.35846178362329639</v>
      </c>
      <c r="F128" s="118">
        <f t="shared" si="11"/>
        <v>3.2650063095799111</v>
      </c>
      <c r="G128" s="118">
        <f t="shared" si="12"/>
        <v>3.3069470980802365</v>
      </c>
      <c r="H128" s="103">
        <f t="shared" si="7"/>
        <v>0.30037877131493146</v>
      </c>
    </row>
    <row r="129" spans="1:8">
      <c r="A129">
        <v>116</v>
      </c>
      <c r="B129" s="118">
        <v>0</v>
      </c>
      <c r="C129" s="118">
        <f t="shared" si="8"/>
        <v>-9.7848049676371243E-3</v>
      </c>
      <c r="D129" s="74">
        <f t="shared" si="9"/>
        <v>4.2641180657769385E-3</v>
      </c>
      <c r="E129" s="74">
        <f t="shared" si="10"/>
        <v>0.3648579607219618</v>
      </c>
      <c r="F129" s="118">
        <f t="shared" si="11"/>
        <v>3.3014921056521072</v>
      </c>
      <c r="G129" s="118">
        <f t="shared" si="12"/>
        <v>3.3356050501783225</v>
      </c>
      <c r="H129" s="103">
        <f t="shared" si="7"/>
        <v>0.24431596851450652</v>
      </c>
    </row>
    <row r="130" spans="1:8">
      <c r="A130">
        <v>117</v>
      </c>
      <c r="B130" s="118">
        <v>0</v>
      </c>
      <c r="C130" s="118">
        <f t="shared" si="8"/>
        <v>-1.0780452715822951E-2</v>
      </c>
      <c r="D130" s="74">
        <f t="shared" si="9"/>
        <v>3.1860727941946431E-3</v>
      </c>
      <c r="E130" s="74">
        <f t="shared" si="10"/>
        <v>0.36963706991325379</v>
      </c>
      <c r="F130" s="118">
        <f t="shared" si="11"/>
        <v>3.3384558126434327</v>
      </c>
      <c r="G130" s="118">
        <f t="shared" si="12"/>
        <v>3.3639443949969898</v>
      </c>
      <c r="H130" s="103">
        <f t="shared" si="7"/>
        <v>0.18254852432880639</v>
      </c>
    </row>
    <row r="131" spans="1:8">
      <c r="A131">
        <v>118</v>
      </c>
      <c r="B131" s="118">
        <v>0</v>
      </c>
      <c r="C131" s="118">
        <f t="shared" si="8"/>
        <v>-1.1419248934796389E-2</v>
      </c>
      <c r="D131" s="74">
        <f t="shared" si="9"/>
        <v>2.0441479007150039E-3</v>
      </c>
      <c r="E131" s="74">
        <f t="shared" si="10"/>
        <v>0.37270329176432632</v>
      </c>
      <c r="F131" s="118">
        <f t="shared" si="11"/>
        <v>3.3757261418198654</v>
      </c>
      <c r="G131" s="118">
        <f t="shared" si="12"/>
        <v>3.3920793250255854</v>
      </c>
      <c r="H131" s="103">
        <f t="shared" si="7"/>
        <v>0.11712104741149697</v>
      </c>
    </row>
    <row r="132" spans="1:8">
      <c r="A132">
        <v>119</v>
      </c>
      <c r="B132" s="118">
        <v>0</v>
      </c>
      <c r="C132" s="118">
        <f t="shared" si="8"/>
        <v>-1.1692649846079834E-2</v>
      </c>
      <c r="D132" s="74">
        <f t="shared" si="9"/>
        <v>8.7488291610702054E-4</v>
      </c>
      <c r="E132" s="74">
        <f t="shared" si="10"/>
        <v>0.37401561613848683</v>
      </c>
      <c r="F132" s="118">
        <f t="shared" si="11"/>
        <v>3.4131277034337142</v>
      </c>
      <c r="G132" s="118">
        <f t="shared" si="12"/>
        <v>3.4201267667625705</v>
      </c>
      <c r="H132" s="103">
        <f t="shared" si="7"/>
        <v>5.0127098661030343E-2</v>
      </c>
    </row>
    <row r="133" spans="1:8">
      <c r="A133">
        <v>120</v>
      </c>
      <c r="B133" s="118">
        <v>0</v>
      </c>
      <c r="C133" s="118">
        <f t="shared" si="8"/>
        <v>-1.16034431586553E-2</v>
      </c>
      <c r="D133" s="74">
        <f t="shared" si="9"/>
        <v>-2.8546139975850959E-4</v>
      </c>
      <c r="E133" s="74">
        <f t="shared" si="10"/>
        <v>0.37358742403884904</v>
      </c>
      <c r="F133" s="118">
        <f t="shared" si="11"/>
        <v>3.450486445837599</v>
      </c>
      <c r="G133" s="118">
        <f t="shared" si="12"/>
        <v>3.4482027546395311</v>
      </c>
      <c r="H133" s="103">
        <f t="shared" si="7"/>
        <v>-1.6355733420059419E-2</v>
      </c>
    </row>
    <row r="134" spans="1:8">
      <c r="A134">
        <v>121</v>
      </c>
      <c r="B134" s="118">
        <v>0</v>
      </c>
      <c r="C134" s="118">
        <f t="shared" si="8"/>
        <v>-1.1165320214526804E-2</v>
      </c>
      <c r="D134" s="74">
        <f t="shared" si="9"/>
        <v>-1.4019934212111901E-3</v>
      </c>
      <c r="E134" s="74">
        <f t="shared" si="10"/>
        <v>0.37148443390703223</v>
      </c>
      <c r="F134" s="118">
        <f t="shared" si="11"/>
        <v>3.4876348892283024</v>
      </c>
      <c r="G134" s="118">
        <f t="shared" si="12"/>
        <v>3.4764189418586131</v>
      </c>
      <c r="H134" s="103">
        <f t="shared" si="7"/>
        <v>-8.0328305940508299E-2</v>
      </c>
    </row>
    <row r="135" spans="1:8">
      <c r="A135">
        <v>122</v>
      </c>
      <c r="B135" s="118">
        <v>0</v>
      </c>
      <c r="C135" s="118">
        <f t="shared" si="8"/>
        <v>-1.0402130686446843E-2</v>
      </c>
      <c r="D135" s="74">
        <f t="shared" si="9"/>
        <v>-2.4422064898558743E-3</v>
      </c>
      <c r="E135" s="74">
        <f t="shared" si="10"/>
        <v>0.36782112417224844</v>
      </c>
      <c r="F135" s="118">
        <f t="shared" si="11"/>
        <v>3.5244170016455274</v>
      </c>
      <c r="G135" s="118">
        <f t="shared" si="12"/>
        <v>3.5048793497266804</v>
      </c>
      <c r="H135" s="103">
        <f t="shared" si="7"/>
        <v>-0.13992812456820089</v>
      </c>
    </row>
    <row r="136" spans="1:8">
      <c r="A136">
        <v>123</v>
      </c>
      <c r="B136" s="118">
        <v>0</v>
      </c>
      <c r="C136" s="118">
        <f t="shared" si="8"/>
        <v>-9.3468520323557649E-3</v>
      </c>
      <c r="D136" s="74">
        <f t="shared" si="9"/>
        <v>-3.3768916930914509E-3</v>
      </c>
      <c r="E136" s="74">
        <f t="shared" si="10"/>
        <v>0.36275578663261127</v>
      </c>
      <c r="F136" s="118">
        <f t="shared" si="11"/>
        <v>3.5606925803087885</v>
      </c>
      <c r="G136" s="118">
        <f t="shared" si="12"/>
        <v>3.5336774467640568</v>
      </c>
      <c r="H136" s="103">
        <f t="shared" si="7"/>
        <v>-0.19348164188692701</v>
      </c>
    </row>
    <row r="137" spans="1:8">
      <c r="A137">
        <v>124</v>
      </c>
      <c r="B137" s="118">
        <v>0</v>
      </c>
      <c r="C137" s="118">
        <f t="shared" si="8"/>
        <v>-8.0403135789233332E-3</v>
      </c>
      <c r="D137" s="74">
        <f t="shared" si="9"/>
        <v>-4.1809230509837845E-3</v>
      </c>
      <c r="E137" s="74">
        <f t="shared" si="10"/>
        <v>0.35648440205613557</v>
      </c>
      <c r="F137" s="118">
        <f t="shared" si="11"/>
        <v>3.596341020514402</v>
      </c>
      <c r="G137" s="118">
        <f t="shared" si="12"/>
        <v>3.5628936361065318</v>
      </c>
      <c r="H137" s="103">
        <f t="shared" si="7"/>
        <v>-0.23954924529033036</v>
      </c>
    </row>
    <row r="138" spans="1:8">
      <c r="A138">
        <v>125</v>
      </c>
      <c r="B138" s="118">
        <v>0</v>
      </c>
      <c r="C138" s="118">
        <f t="shared" si="8"/>
        <v>-6.5297213338093582E-3</v>
      </c>
      <c r="D138" s="74">
        <f t="shared" si="9"/>
        <v>-4.8338951843647201E-3</v>
      </c>
      <c r="E138" s="74">
        <f t="shared" si="10"/>
        <v>0.34923355927958849</v>
      </c>
      <c r="F138" s="118">
        <f t="shared" si="11"/>
        <v>3.6312643764423607</v>
      </c>
      <c r="G138" s="118">
        <f t="shared" si="12"/>
        <v>3.5925932149674429</v>
      </c>
      <c r="H138" s="103">
        <f t="shared" si="7"/>
        <v>-0.27696179267271143</v>
      </c>
    </row>
    <row r="139" spans="1:8">
      <c r="A139">
        <v>126</v>
      </c>
      <c r="B139" s="118">
        <v>0</v>
      </c>
      <c r="C139" s="118">
        <f t="shared" si="8"/>
        <v>-4.8670342678258267E-3</v>
      </c>
      <c r="D139" s="74">
        <f t="shared" si="9"/>
        <v>-5.3205986111473031E-3</v>
      </c>
      <c r="E139" s="74">
        <f t="shared" si="10"/>
        <v>0.34125266136286753</v>
      </c>
      <c r="F139" s="118">
        <f t="shared" si="11"/>
        <v>3.6653896425786474</v>
      </c>
      <c r="G139" s="118">
        <f t="shared" si="12"/>
        <v>3.6228248536894689</v>
      </c>
      <c r="H139" s="103">
        <f t="shared" si="7"/>
        <v>-0.30484784490190792</v>
      </c>
    </row>
    <row r="140" spans="1:8">
      <c r="A140">
        <v>127</v>
      </c>
      <c r="B140" s="118">
        <v>0</v>
      </c>
      <c r="C140" s="118">
        <f t="shared" si="8"/>
        <v>-3.1072457714834373E-3</v>
      </c>
      <c r="D140" s="74">
        <f t="shared" si="9"/>
        <v>-5.631323188295647E-3</v>
      </c>
      <c r="E140" s="74">
        <f t="shared" si="10"/>
        <v>0.33280567658042404</v>
      </c>
      <c r="F140" s="118">
        <f t="shared" si="11"/>
        <v>3.6986702102366897</v>
      </c>
      <c r="G140" s="118">
        <f t="shared" si="12"/>
        <v>3.6536196247303248</v>
      </c>
      <c r="H140" s="103">
        <f t="shared" si="7"/>
        <v>-0.32265105176349518</v>
      </c>
    </row>
    <row r="141" spans="1:8">
      <c r="A141">
        <v>128</v>
      </c>
      <c r="B141" s="118">
        <v>0</v>
      </c>
      <c r="C141" s="118">
        <f t="shared" si="8"/>
        <v>-1.3066252365004098E-3</v>
      </c>
      <c r="D141" s="74">
        <f t="shared" si="9"/>
        <v>-5.761985711945688E-3</v>
      </c>
      <c r="E141" s="74">
        <f t="shared" si="10"/>
        <v>0.32416269801250552</v>
      </c>
      <c r="F141" s="118">
        <f t="shared" si="11"/>
        <v>3.7310864800379404</v>
      </c>
      <c r="G141" s="118">
        <f t="shared" si="12"/>
        <v>3.6849905943423749</v>
      </c>
      <c r="H141" s="103">
        <f t="shared" ref="H141" si="14">D141*360/(2*PI())</f>
        <v>-0.33013746290917079</v>
      </c>
    </row>
  </sheetData>
  <pageMargins left="0.75" right="0.75" top="1" bottom="1" header="0.5" footer="0.5"/>
  <pageSetup paperSize="9" orientation="portrait" horizontalDpi="4294967292" verticalDpi="4294967292"/>
  <ignoredErrors>
    <ignoredError sqref="E13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workbookViewId="0">
      <selection activeCell="E26" sqref="E26"/>
    </sheetView>
  </sheetViews>
  <sheetFormatPr baseColWidth="10" defaultRowHeight="15" x14ac:dyDescent="0"/>
  <cols>
    <col min="5" max="5" width="7.6640625" customWidth="1"/>
  </cols>
  <sheetData>
    <row r="2" spans="1:6">
      <c r="A2" s="64" t="s">
        <v>233</v>
      </c>
      <c r="B2" s="64" t="s">
        <v>234</v>
      </c>
      <c r="C2" t="s">
        <v>235</v>
      </c>
      <c r="D2" s="148">
        <v>1.3</v>
      </c>
      <c r="E2" s="64"/>
      <c r="F2" s="64"/>
    </row>
    <row r="3" spans="1:6">
      <c r="A3" s="103">
        <f ca="1">10*RAND()</f>
        <v>3.9149974001654897</v>
      </c>
      <c r="B3" s="103">
        <f ca="1">$D$2+$D$3*A3+4*(-0.5+RAND())</f>
        <v>6.8755457450198483</v>
      </c>
      <c r="C3" t="s">
        <v>236</v>
      </c>
      <c r="D3" s="148">
        <v>1.2</v>
      </c>
      <c r="E3" s="103"/>
      <c r="F3" s="103"/>
    </row>
    <row r="4" spans="1:6">
      <c r="A4" s="103">
        <f t="shared" ref="A4:A24" ca="1" si="0">10*RAND()</f>
        <v>2.9754211032596212</v>
      </c>
      <c r="B4" s="103">
        <f t="shared" ref="B4:B24" ca="1" si="1">$D$2+$D$3*A4+4*(-0.5+RAND())</f>
        <v>2.8859776405068769</v>
      </c>
      <c r="C4" s="154" t="s">
        <v>237</v>
      </c>
      <c r="E4" s="103"/>
      <c r="F4" s="103"/>
    </row>
    <row r="5" spans="1:6">
      <c r="A5" s="103">
        <f t="shared" ca="1" si="0"/>
        <v>8.7544037513868496</v>
      </c>
      <c r="B5" s="103">
        <f t="shared" ca="1" si="1"/>
        <v>12.689739844944675</v>
      </c>
      <c r="E5" s="103"/>
      <c r="F5" s="103"/>
    </row>
    <row r="6" spans="1:6">
      <c r="A6" s="103">
        <f t="shared" ca="1" si="0"/>
        <v>3.0502243068919235</v>
      </c>
      <c r="B6" s="103">
        <f t="shared" ca="1" si="1"/>
        <v>4.8022521017633242</v>
      </c>
      <c r="C6" t="s">
        <v>98</v>
      </c>
      <c r="D6" t="s">
        <v>238</v>
      </c>
      <c r="E6" s="64">
        <v>21</v>
      </c>
      <c r="F6" s="103"/>
    </row>
    <row r="7" spans="1:6">
      <c r="A7" s="103">
        <f t="shared" ca="1" si="0"/>
        <v>0.73419105989028233</v>
      </c>
      <c r="B7" s="103">
        <f t="shared" ca="1" si="1"/>
        <v>2.5312194812438347</v>
      </c>
      <c r="C7" t="s">
        <v>99</v>
      </c>
      <c r="D7" t="s">
        <v>239</v>
      </c>
      <c r="E7" s="103">
        <f ca="1">SUM(A3:A24)</f>
        <v>111.84772020571251</v>
      </c>
      <c r="F7" s="103"/>
    </row>
    <row r="8" spans="1:6">
      <c r="A8" s="103">
        <f t="shared" ca="1" si="0"/>
        <v>4.7029902217272914</v>
      </c>
      <c r="B8" s="103">
        <f t="shared" ca="1" si="1"/>
        <v>7.4420902632348023</v>
      </c>
      <c r="C8" t="s">
        <v>100</v>
      </c>
      <c r="D8" t="s">
        <v>239</v>
      </c>
      <c r="E8" s="103">
        <f ca="1">SUM(A3:A24)</f>
        <v>111.84772020571251</v>
      </c>
      <c r="F8" s="103"/>
    </row>
    <row r="9" spans="1:6">
      <c r="A9" s="103">
        <f t="shared" ca="1" si="0"/>
        <v>9.6848640596869373</v>
      </c>
      <c r="B9" s="103">
        <f t="shared" ca="1" si="1"/>
        <v>11.880776870858355</v>
      </c>
      <c r="C9" t="s">
        <v>101</v>
      </c>
      <c r="D9" t="s">
        <v>240</v>
      </c>
      <c r="E9" s="103">
        <f ca="1">SUMPRODUCT(A3:A24,A3:A24)</f>
        <v>823.06580106014087</v>
      </c>
      <c r="F9" s="103"/>
    </row>
    <row r="10" spans="1:6">
      <c r="A10" s="103">
        <f t="shared" ca="1" si="0"/>
        <v>1.0393908296445442</v>
      </c>
      <c r="B10" s="103">
        <f t="shared" ca="1" si="1"/>
        <v>3.7935129632490634</v>
      </c>
      <c r="E10" s="64"/>
      <c r="F10" s="103"/>
    </row>
    <row r="11" spans="1:6">
      <c r="A11" s="103">
        <f t="shared" ca="1" si="0"/>
        <v>2.6765929281280352</v>
      </c>
      <c r="B11" s="103">
        <f t="shared" ca="1" si="1"/>
        <v>2.7090199516768974</v>
      </c>
      <c r="C11" t="s">
        <v>241</v>
      </c>
      <c r="D11" t="s">
        <v>243</v>
      </c>
      <c r="E11" s="103">
        <f ca="1">SUM(B3:B24)</f>
        <v>156.47909122027119</v>
      </c>
      <c r="F11" s="103"/>
    </row>
    <row r="12" spans="1:6">
      <c r="A12" s="103">
        <f t="shared" ca="1" si="0"/>
        <v>6.0512654777108246</v>
      </c>
      <c r="B12" s="103">
        <f t="shared" ca="1" si="1"/>
        <v>10.141068085452851</v>
      </c>
      <c r="C12" t="s">
        <v>242</v>
      </c>
      <c r="D12" t="s">
        <v>244</v>
      </c>
      <c r="E12" s="103">
        <f ca="1">SUMPRODUCT(A3:A24,B3:B24)</f>
        <v>1107.9568608169723</v>
      </c>
      <c r="F12" s="103"/>
    </row>
    <row r="13" spans="1:6">
      <c r="A13" s="103">
        <f t="shared" ca="1" si="0"/>
        <v>3.2948675411222905</v>
      </c>
      <c r="B13" s="103">
        <f t="shared" ca="1" si="1"/>
        <v>5.0913071029481607</v>
      </c>
      <c r="E13" s="103"/>
      <c r="F13" s="103"/>
    </row>
    <row r="14" spans="1:6">
      <c r="A14" s="103">
        <f t="shared" ca="1" si="0"/>
        <v>5.7780947444470874</v>
      </c>
      <c r="B14" s="103">
        <f t="shared" ca="1" si="1"/>
        <v>7.8545977756180374</v>
      </c>
      <c r="C14" s="154" t="s">
        <v>246</v>
      </c>
      <c r="D14" s="154"/>
      <c r="E14" s="155"/>
      <c r="F14" s="155">
        <f ca="1">(E6*E12-E7*E11)/F16</f>
        <v>1.2075194316983535</v>
      </c>
    </row>
    <row r="15" spans="1:6">
      <c r="A15" s="103">
        <f t="shared" ca="1" si="0"/>
        <v>0.86369249021907013</v>
      </c>
      <c r="B15" s="103">
        <f t="shared" ca="1" si="1"/>
        <v>2.3021374773756924</v>
      </c>
      <c r="C15" s="154" t="s">
        <v>247</v>
      </c>
      <c r="D15" s="154"/>
      <c r="E15" s="155"/>
      <c r="F15" s="155">
        <f ca="1">(E9*E11-E8*E12)/F16</f>
        <v>1.0200378895577471</v>
      </c>
    </row>
    <row r="16" spans="1:6">
      <c r="A16" s="103">
        <f t="shared" ca="1" si="0"/>
        <v>9.6945722474686686</v>
      </c>
      <c r="B16" s="103">
        <f t="shared" ca="1" si="1"/>
        <v>11.436703772393301</v>
      </c>
      <c r="C16" s="154" t="s">
        <v>245</v>
      </c>
      <c r="D16" s="154"/>
      <c r="E16" s="155"/>
      <c r="F16" s="155">
        <f ca="1">E6*E9-E7*E8</f>
        <v>4774.4693070476096</v>
      </c>
    </row>
    <row r="17" spans="1:10">
      <c r="A17" s="103">
        <f t="shared" ca="1" si="0"/>
        <v>9.9192773441053461</v>
      </c>
      <c r="B17" s="103">
        <f t="shared" ca="1" si="1"/>
        <v>11.485172172332566</v>
      </c>
      <c r="E17" s="103"/>
      <c r="F17" s="103"/>
    </row>
    <row r="18" spans="1:10">
      <c r="A18" s="103">
        <f t="shared" ca="1" si="0"/>
        <v>9.5278197141239218</v>
      </c>
      <c r="B18" s="103">
        <f t="shared" ca="1" si="1"/>
        <v>11.638707377506513</v>
      </c>
      <c r="E18" s="103"/>
      <c r="F18" s="103"/>
    </row>
    <row r="19" spans="1:10">
      <c r="A19" s="103">
        <f t="shared" ca="1" si="0"/>
        <v>2.0569544662395711</v>
      </c>
      <c r="B19" s="103">
        <f t="shared" ca="1" si="1"/>
        <v>2.4538681970821266</v>
      </c>
      <c r="E19" s="103"/>
      <c r="F19" s="103"/>
    </row>
    <row r="20" spans="1:10">
      <c r="A20" s="103">
        <f t="shared" ca="1" si="0"/>
        <v>7.9359939157358284</v>
      </c>
      <c r="B20" s="103">
        <f t="shared" ca="1" si="1"/>
        <v>12.121348195535631</v>
      </c>
      <c r="F20" s="103"/>
    </row>
    <row r="21" spans="1:10">
      <c r="A21" s="103">
        <f t="shared" ca="1" si="0"/>
        <v>8.3632182663604269</v>
      </c>
      <c r="B21" s="103">
        <f t="shared" ca="1" si="1"/>
        <v>10.454027553086885</v>
      </c>
      <c r="F21" s="103"/>
    </row>
    <row r="22" spans="1:10">
      <c r="A22" s="103">
        <f t="shared" ca="1" si="0"/>
        <v>1.4960011472874968</v>
      </c>
      <c r="B22" s="103">
        <f t="shared" ca="1" si="1"/>
        <v>1.8210635074436188</v>
      </c>
      <c r="E22" s="103"/>
      <c r="F22" s="103"/>
    </row>
    <row r="23" spans="1:10">
      <c r="A23" s="103">
        <f t="shared" ca="1" si="0"/>
        <v>0.16436408820935555</v>
      </c>
      <c r="B23" s="103">
        <f t="shared" ca="1" si="1"/>
        <v>-0.22266320682288421</v>
      </c>
      <c r="E23" s="103"/>
      <c r="F23" s="103"/>
    </row>
    <row r="24" spans="1:10">
      <c r="A24" s="103">
        <f t="shared" ca="1" si="0"/>
        <v>9.1685231019016467</v>
      </c>
      <c r="B24" s="103">
        <f t="shared" ca="1" si="1"/>
        <v>14.291618347820995</v>
      </c>
      <c r="E24" s="103"/>
      <c r="F24" s="103"/>
      <c r="I24" s="103"/>
      <c r="J24" s="103"/>
    </row>
  </sheetData>
  <sortState ref="I2:J24">
    <sortCondition ref="I2:I24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opLeftCell="A2" workbookViewId="0">
      <selection activeCell="B17" sqref="B17"/>
    </sheetView>
  </sheetViews>
  <sheetFormatPr baseColWidth="10" defaultRowHeight="15" x14ac:dyDescent="0"/>
  <cols>
    <col min="1" max="1" width="8.33203125" customWidth="1"/>
    <col min="2" max="2" width="9.33203125" customWidth="1"/>
    <col min="4" max="4" width="17.33203125" customWidth="1"/>
    <col min="9" max="9" width="11.83203125" customWidth="1"/>
  </cols>
  <sheetData>
    <row r="1" spans="1:10">
      <c r="A1" t="s">
        <v>248</v>
      </c>
    </row>
    <row r="2" spans="1:10">
      <c r="A2" t="s">
        <v>256</v>
      </c>
      <c r="B2" s="145">
        <v>1</v>
      </c>
      <c r="C2" t="s">
        <v>257</v>
      </c>
    </row>
    <row r="3" spans="1:10">
      <c r="A3" t="s">
        <v>258</v>
      </c>
      <c r="B3" s="145">
        <v>0.4</v>
      </c>
      <c r="C3" t="s">
        <v>259</v>
      </c>
    </row>
    <row r="4" spans="1:10">
      <c r="A4" t="s">
        <v>210</v>
      </c>
      <c r="B4" s="145">
        <v>0.1</v>
      </c>
      <c r="C4" t="s">
        <v>34</v>
      </c>
    </row>
    <row r="5" spans="1:10">
      <c r="A5" t="s">
        <v>260</v>
      </c>
      <c r="B5" s="145">
        <v>1</v>
      </c>
      <c r="C5" t="s">
        <v>185</v>
      </c>
    </row>
    <row r="7" spans="1:10">
      <c r="A7" t="s">
        <v>261</v>
      </c>
      <c r="B7" s="154">
        <v>1</v>
      </c>
      <c r="C7" t="s">
        <v>268</v>
      </c>
    </row>
    <row r="8" spans="1:10">
      <c r="A8" t="s">
        <v>262</v>
      </c>
      <c r="B8" s="154">
        <v>0</v>
      </c>
      <c r="C8" t="s">
        <v>270</v>
      </c>
    </row>
    <row r="10" spans="1:10">
      <c r="A10" t="s">
        <v>250</v>
      </c>
      <c r="C10" t="s">
        <v>251</v>
      </c>
      <c r="E10" t="s">
        <v>252</v>
      </c>
    </row>
    <row r="11" spans="1:10">
      <c r="A11" t="s">
        <v>108</v>
      </c>
      <c r="C11" t="s">
        <v>255</v>
      </c>
      <c r="E11" t="s">
        <v>254</v>
      </c>
    </row>
    <row r="12" spans="1:10">
      <c r="A12" t="s">
        <v>249</v>
      </c>
      <c r="C12" t="s">
        <v>253</v>
      </c>
      <c r="E12" t="s">
        <v>254</v>
      </c>
    </row>
    <row r="14" spans="1:10">
      <c r="A14" s="64" t="s">
        <v>17</v>
      </c>
      <c r="B14" s="64" t="s">
        <v>264</v>
      </c>
      <c r="C14" s="64" t="s">
        <v>265</v>
      </c>
      <c r="D14" s="64" t="s">
        <v>266</v>
      </c>
      <c r="F14" s="64" t="s">
        <v>267</v>
      </c>
      <c r="G14" s="64" t="s">
        <v>263</v>
      </c>
      <c r="H14" s="64" t="s">
        <v>269</v>
      </c>
      <c r="I14" s="64" t="s">
        <v>271</v>
      </c>
      <c r="J14" s="64" t="s">
        <v>272</v>
      </c>
    </row>
    <row r="15" spans="1:10">
      <c r="A15" s="148">
        <v>-1</v>
      </c>
      <c r="B15" s="148">
        <v>0</v>
      </c>
      <c r="C15" s="148"/>
      <c r="D15" s="148">
        <v>0.8</v>
      </c>
      <c r="E15" s="145" t="s">
        <v>214</v>
      </c>
      <c r="F15" s="148">
        <v>0</v>
      </c>
      <c r="G15" s="148">
        <v>0</v>
      </c>
      <c r="H15" s="148">
        <v>0</v>
      </c>
      <c r="I15" s="148">
        <v>0</v>
      </c>
    </row>
    <row r="16" spans="1:10">
      <c r="A16" s="64">
        <v>0</v>
      </c>
      <c r="B16" s="103">
        <f>H16+I16</f>
        <v>0</v>
      </c>
      <c r="C16" s="103">
        <v>0</v>
      </c>
      <c r="D16" s="103">
        <f>D15+$B$4*$B$2*B16-$B$4*$B$2*C16</f>
        <v>0.8</v>
      </c>
      <c r="F16" s="103">
        <f>$B$5-D16</f>
        <v>0.19999999999999996</v>
      </c>
      <c r="G16" s="103">
        <f>F16+G15</f>
        <v>0.19999999999999996</v>
      </c>
      <c r="H16" s="103">
        <f>$B$7*F15</f>
        <v>0</v>
      </c>
      <c r="I16" s="103">
        <f>$B$8*$B$4*G15</f>
        <v>0</v>
      </c>
      <c r="J16" s="103">
        <f>20*F16*F16</f>
        <v>0.7999999999999996</v>
      </c>
    </row>
    <row r="17" spans="1:10">
      <c r="A17" s="64">
        <v>1</v>
      </c>
      <c r="B17" s="103">
        <f t="shared" ref="B17:B80" si="0">H17+I17</f>
        <v>0.19999999999999996</v>
      </c>
      <c r="C17" s="103">
        <v>0</v>
      </c>
      <c r="D17" s="103">
        <f t="shared" ref="D17:D80" si="1">D16+$B$4*$B$2*B17-$B$4*$B$2*C17</f>
        <v>0.82000000000000006</v>
      </c>
      <c r="F17" s="103">
        <f t="shared" ref="F17:F80" si="2">$B$5-D17</f>
        <v>0.17999999999999994</v>
      </c>
      <c r="G17" s="103">
        <f t="shared" ref="G17:G80" si="3">F17+G16</f>
        <v>0.37999999999999989</v>
      </c>
      <c r="H17" s="103">
        <f t="shared" ref="H17:H80" si="4">$B$7*F16</f>
        <v>0.19999999999999996</v>
      </c>
      <c r="I17" s="103">
        <f t="shared" ref="I17:I80" si="5">$B$8*$B$4*G16</f>
        <v>0</v>
      </c>
      <c r="J17" s="103">
        <f t="shared" ref="J17:J80" si="6">20*F17*F17</f>
        <v>0.64799999999999958</v>
      </c>
    </row>
    <row r="18" spans="1:10">
      <c r="A18" s="64">
        <v>2</v>
      </c>
      <c r="B18" s="103">
        <f t="shared" si="0"/>
        <v>0.17999999999999994</v>
      </c>
      <c r="C18" s="103">
        <v>0</v>
      </c>
      <c r="D18" s="103">
        <f t="shared" si="1"/>
        <v>0.83800000000000008</v>
      </c>
      <c r="F18" s="103">
        <f t="shared" si="2"/>
        <v>0.16199999999999992</v>
      </c>
      <c r="G18" s="103">
        <f t="shared" si="3"/>
        <v>0.54199999999999982</v>
      </c>
      <c r="H18" s="103">
        <f t="shared" si="4"/>
        <v>0.17999999999999994</v>
      </c>
      <c r="I18" s="103">
        <f t="shared" si="5"/>
        <v>0</v>
      </c>
      <c r="J18" s="103">
        <f t="shared" si="6"/>
        <v>0.52487999999999946</v>
      </c>
    </row>
    <row r="19" spans="1:10">
      <c r="A19" s="64">
        <v>3</v>
      </c>
      <c r="B19" s="103">
        <f t="shared" si="0"/>
        <v>0.16199999999999992</v>
      </c>
      <c r="C19" s="103">
        <v>0</v>
      </c>
      <c r="D19" s="103">
        <f t="shared" si="1"/>
        <v>0.85420000000000007</v>
      </c>
      <c r="F19" s="103">
        <f t="shared" si="2"/>
        <v>0.14579999999999993</v>
      </c>
      <c r="G19" s="103">
        <f t="shared" si="3"/>
        <v>0.68779999999999974</v>
      </c>
      <c r="H19" s="103">
        <f t="shared" si="4"/>
        <v>0.16199999999999992</v>
      </c>
      <c r="I19" s="103">
        <f t="shared" si="5"/>
        <v>0</v>
      </c>
      <c r="J19" s="103">
        <f t="shared" si="6"/>
        <v>0.42515279999999961</v>
      </c>
    </row>
    <row r="20" spans="1:10">
      <c r="A20" s="64">
        <v>4</v>
      </c>
      <c r="B20" s="103">
        <f t="shared" si="0"/>
        <v>0.14579999999999993</v>
      </c>
      <c r="C20" s="103">
        <v>0</v>
      </c>
      <c r="D20" s="103">
        <f t="shared" si="1"/>
        <v>0.86878000000000011</v>
      </c>
      <c r="F20" s="103">
        <f t="shared" si="2"/>
        <v>0.13121999999999989</v>
      </c>
      <c r="G20" s="103">
        <f t="shared" si="3"/>
        <v>0.81901999999999964</v>
      </c>
      <c r="H20" s="103">
        <f t="shared" si="4"/>
        <v>0.14579999999999993</v>
      </c>
      <c r="I20" s="103">
        <f t="shared" si="5"/>
        <v>0</v>
      </c>
      <c r="J20" s="103">
        <f t="shared" si="6"/>
        <v>0.34437376799999941</v>
      </c>
    </row>
    <row r="21" spans="1:10">
      <c r="A21" s="64">
        <v>5</v>
      </c>
      <c r="B21" s="103">
        <f t="shared" si="0"/>
        <v>0.13121999999999989</v>
      </c>
      <c r="C21" s="103">
        <v>0</v>
      </c>
      <c r="D21" s="103">
        <f t="shared" si="1"/>
        <v>0.88190200000000007</v>
      </c>
      <c r="F21" s="103">
        <f t="shared" si="2"/>
        <v>0.11809799999999993</v>
      </c>
      <c r="G21" s="103">
        <f t="shared" si="3"/>
        <v>0.93711799999999956</v>
      </c>
      <c r="H21" s="103">
        <f t="shared" si="4"/>
        <v>0.13121999999999989</v>
      </c>
      <c r="I21" s="103">
        <f t="shared" si="5"/>
        <v>0</v>
      </c>
      <c r="J21" s="103">
        <f t="shared" si="6"/>
        <v>0.27894275207999963</v>
      </c>
    </row>
    <row r="22" spans="1:10">
      <c r="A22" s="64">
        <v>6</v>
      </c>
      <c r="B22" s="103">
        <f t="shared" si="0"/>
        <v>0.11809799999999993</v>
      </c>
      <c r="C22" s="103">
        <v>0</v>
      </c>
      <c r="D22" s="103">
        <f t="shared" si="1"/>
        <v>0.89371180000000006</v>
      </c>
      <c r="F22" s="103">
        <f t="shared" si="2"/>
        <v>0.10628819999999994</v>
      </c>
      <c r="G22" s="103">
        <f t="shared" si="3"/>
        <v>1.0434061999999995</v>
      </c>
      <c r="H22" s="103">
        <f t="shared" si="4"/>
        <v>0.11809799999999993</v>
      </c>
      <c r="I22" s="103">
        <f t="shared" si="5"/>
        <v>0</v>
      </c>
      <c r="J22" s="103">
        <f t="shared" si="6"/>
        <v>0.22594362918479977</v>
      </c>
    </row>
    <row r="23" spans="1:10">
      <c r="A23" s="64">
        <v>7</v>
      </c>
      <c r="B23" s="103">
        <f t="shared" si="0"/>
        <v>0.10628819999999994</v>
      </c>
      <c r="C23" s="103">
        <v>0</v>
      </c>
      <c r="D23" s="103">
        <f t="shared" si="1"/>
        <v>0.90434062000000004</v>
      </c>
      <c r="F23" s="103">
        <f t="shared" si="2"/>
        <v>9.5659379999999961E-2</v>
      </c>
      <c r="G23" s="103">
        <f t="shared" si="3"/>
        <v>1.1390655799999996</v>
      </c>
      <c r="H23" s="103">
        <f t="shared" si="4"/>
        <v>0.10628819999999994</v>
      </c>
      <c r="I23" s="103">
        <f t="shared" si="5"/>
        <v>0</v>
      </c>
      <c r="J23" s="103">
        <f t="shared" si="6"/>
        <v>0.18301433963968786</v>
      </c>
    </row>
    <row r="24" spans="1:10">
      <c r="A24" s="64">
        <v>8</v>
      </c>
      <c r="B24" s="103">
        <f t="shared" si="0"/>
        <v>9.5659379999999961E-2</v>
      </c>
      <c r="C24" s="103">
        <v>0</v>
      </c>
      <c r="D24" s="103">
        <f t="shared" si="1"/>
        <v>0.91390655800000009</v>
      </c>
      <c r="F24" s="103">
        <f t="shared" si="2"/>
        <v>8.6093441999999909E-2</v>
      </c>
      <c r="G24" s="103">
        <f t="shared" si="3"/>
        <v>1.2251590219999995</v>
      </c>
      <c r="H24" s="103">
        <f t="shared" si="4"/>
        <v>9.5659379999999961E-2</v>
      </c>
      <c r="I24" s="103">
        <f t="shared" si="5"/>
        <v>0</v>
      </c>
      <c r="J24" s="103">
        <f t="shared" si="6"/>
        <v>0.14824161510814696</v>
      </c>
    </row>
    <row r="25" spans="1:10">
      <c r="A25" s="64">
        <v>9</v>
      </c>
      <c r="B25" s="103">
        <f t="shared" si="0"/>
        <v>8.6093441999999909E-2</v>
      </c>
      <c r="C25" s="103">
        <v>0</v>
      </c>
      <c r="D25" s="103">
        <f t="shared" si="1"/>
        <v>0.92251590220000013</v>
      </c>
      <c r="F25" s="103">
        <f t="shared" si="2"/>
        <v>7.7484097799999874E-2</v>
      </c>
      <c r="G25" s="103">
        <f t="shared" si="3"/>
        <v>1.3026431197999995</v>
      </c>
      <c r="H25" s="103">
        <f t="shared" si="4"/>
        <v>8.6093441999999909E-2</v>
      </c>
      <c r="I25" s="103">
        <f t="shared" si="5"/>
        <v>0</v>
      </c>
      <c r="J25" s="103">
        <f t="shared" si="6"/>
        <v>0.1200757082375989</v>
      </c>
    </row>
    <row r="26" spans="1:10">
      <c r="A26" s="64">
        <v>10</v>
      </c>
      <c r="B26" s="103">
        <f t="shared" si="0"/>
        <v>7.7484097799999874E-2</v>
      </c>
      <c r="C26" s="103">
        <v>0</v>
      </c>
      <c r="D26" s="103">
        <f t="shared" si="1"/>
        <v>0.93026431198000015</v>
      </c>
      <c r="F26" s="103">
        <f t="shared" si="2"/>
        <v>6.9735688019999853E-2</v>
      </c>
      <c r="G26" s="103">
        <f t="shared" si="3"/>
        <v>1.3723788078199992</v>
      </c>
      <c r="H26" s="103">
        <f t="shared" si="4"/>
        <v>7.7484097799999874E-2</v>
      </c>
      <c r="I26" s="103">
        <f t="shared" si="5"/>
        <v>0</v>
      </c>
      <c r="J26" s="103">
        <f t="shared" si="6"/>
        <v>9.7261323672455019E-2</v>
      </c>
    </row>
    <row r="27" spans="1:10">
      <c r="A27" s="64">
        <v>11</v>
      </c>
      <c r="B27" s="103">
        <f t="shared" si="0"/>
        <v>6.9735688019999853E-2</v>
      </c>
      <c r="C27" s="103">
        <v>0</v>
      </c>
      <c r="D27" s="103">
        <f t="shared" si="1"/>
        <v>0.9372378807820001</v>
      </c>
      <c r="F27" s="103">
        <f t="shared" si="2"/>
        <v>6.2762119217999901E-2</v>
      </c>
      <c r="G27" s="103">
        <f t="shared" si="3"/>
        <v>1.4351409270379991</v>
      </c>
      <c r="H27" s="103">
        <f t="shared" si="4"/>
        <v>6.9735688019999853E-2</v>
      </c>
      <c r="I27" s="103">
        <f t="shared" si="5"/>
        <v>0</v>
      </c>
      <c r="J27" s="103">
        <f t="shared" si="6"/>
        <v>7.8781672174688649E-2</v>
      </c>
    </row>
    <row r="28" spans="1:10">
      <c r="A28" s="64">
        <v>12</v>
      </c>
      <c r="B28" s="103">
        <f t="shared" si="0"/>
        <v>6.2762119217999901E-2</v>
      </c>
      <c r="C28" s="103">
        <v>0</v>
      </c>
      <c r="D28" s="103">
        <f t="shared" si="1"/>
        <v>0.94351409270380004</v>
      </c>
      <c r="F28" s="103">
        <f t="shared" si="2"/>
        <v>5.6485907296199955E-2</v>
      </c>
      <c r="G28" s="103">
        <f t="shared" si="3"/>
        <v>1.4916268343341992</v>
      </c>
      <c r="H28" s="103">
        <f t="shared" si="4"/>
        <v>6.2762119217999901E-2</v>
      </c>
      <c r="I28" s="103">
        <f t="shared" si="5"/>
        <v>0</v>
      </c>
      <c r="J28" s="103">
        <f t="shared" si="6"/>
        <v>6.3813154461497906E-2</v>
      </c>
    </row>
    <row r="29" spans="1:10">
      <c r="A29" s="64">
        <v>13</v>
      </c>
      <c r="B29" s="103">
        <f t="shared" si="0"/>
        <v>5.6485907296199955E-2</v>
      </c>
      <c r="C29" s="103">
        <v>0</v>
      </c>
      <c r="D29" s="103">
        <f t="shared" si="1"/>
        <v>0.94916268343342003</v>
      </c>
      <c r="F29" s="103">
        <f t="shared" si="2"/>
        <v>5.0837316566579971E-2</v>
      </c>
      <c r="G29" s="103">
        <f t="shared" si="3"/>
        <v>1.5424641509007793</v>
      </c>
      <c r="H29" s="103">
        <f t="shared" si="4"/>
        <v>5.6485907296199955E-2</v>
      </c>
      <c r="I29" s="103">
        <f t="shared" si="5"/>
        <v>0</v>
      </c>
      <c r="J29" s="103">
        <f t="shared" si="6"/>
        <v>5.1688655113813327E-2</v>
      </c>
    </row>
    <row r="30" spans="1:10">
      <c r="A30" s="64">
        <v>14</v>
      </c>
      <c r="B30" s="103">
        <f t="shared" si="0"/>
        <v>5.0837316566579971E-2</v>
      </c>
      <c r="C30" s="103">
        <v>0</v>
      </c>
      <c r="D30" s="103">
        <f t="shared" si="1"/>
        <v>0.95424641509007802</v>
      </c>
      <c r="F30" s="103">
        <f t="shared" si="2"/>
        <v>4.5753584909921985E-2</v>
      </c>
      <c r="G30" s="103">
        <f t="shared" si="3"/>
        <v>1.5882177358107012</v>
      </c>
      <c r="H30" s="103">
        <f t="shared" si="4"/>
        <v>5.0837316566579971E-2</v>
      </c>
      <c r="I30" s="103">
        <f t="shared" si="5"/>
        <v>0</v>
      </c>
      <c r="J30" s="103">
        <f t="shared" si="6"/>
        <v>4.1867810642188814E-2</v>
      </c>
    </row>
    <row r="31" spans="1:10">
      <c r="A31" s="64">
        <v>15</v>
      </c>
      <c r="B31" s="103">
        <f t="shared" si="0"/>
        <v>4.5753584909921985E-2</v>
      </c>
      <c r="C31" s="103">
        <v>0</v>
      </c>
      <c r="D31" s="103">
        <f t="shared" si="1"/>
        <v>0.95882177358107024</v>
      </c>
      <c r="F31" s="103">
        <f t="shared" si="2"/>
        <v>4.1178226418929764E-2</v>
      </c>
      <c r="G31" s="103">
        <f t="shared" si="3"/>
        <v>1.629395962229631</v>
      </c>
      <c r="H31" s="103">
        <f t="shared" si="4"/>
        <v>4.5753584909921985E-2</v>
      </c>
      <c r="I31" s="103">
        <f t="shared" si="5"/>
        <v>0</v>
      </c>
      <c r="J31" s="103">
        <f t="shared" si="6"/>
        <v>3.3912926620172902E-2</v>
      </c>
    </row>
    <row r="32" spans="1:10">
      <c r="A32" s="64">
        <v>16</v>
      </c>
      <c r="B32" s="103">
        <f t="shared" si="0"/>
        <v>4.1178226418929764E-2</v>
      </c>
      <c r="C32" s="103">
        <v>0</v>
      </c>
      <c r="D32" s="103">
        <f t="shared" si="1"/>
        <v>0.96293959622296321</v>
      </c>
      <c r="F32" s="103">
        <f t="shared" si="2"/>
        <v>3.7060403777036788E-2</v>
      </c>
      <c r="G32" s="103">
        <f t="shared" si="3"/>
        <v>1.6664563660066678</v>
      </c>
      <c r="H32" s="103">
        <f t="shared" si="4"/>
        <v>4.1178226418929764E-2</v>
      </c>
      <c r="I32" s="103">
        <f t="shared" si="5"/>
        <v>0</v>
      </c>
      <c r="J32" s="103">
        <f t="shared" si="6"/>
        <v>2.7469470562340052E-2</v>
      </c>
    </row>
    <row r="33" spans="1:10">
      <c r="A33" s="64">
        <v>17</v>
      </c>
      <c r="B33" s="103">
        <f t="shared" si="0"/>
        <v>3.7060403777036788E-2</v>
      </c>
      <c r="C33" s="103">
        <v>0</v>
      </c>
      <c r="D33" s="103">
        <f t="shared" si="1"/>
        <v>0.96664563660066694</v>
      </c>
      <c r="F33" s="103">
        <f t="shared" si="2"/>
        <v>3.3354363399333065E-2</v>
      </c>
      <c r="G33" s="103">
        <f t="shared" si="3"/>
        <v>1.6998107294060008</v>
      </c>
      <c r="H33" s="103">
        <f t="shared" si="4"/>
        <v>3.7060403777036788E-2</v>
      </c>
      <c r="I33" s="103">
        <f t="shared" si="5"/>
        <v>0</v>
      </c>
      <c r="J33" s="103">
        <f t="shared" si="6"/>
        <v>2.2250271155495382E-2</v>
      </c>
    </row>
    <row r="34" spans="1:10">
      <c r="A34" s="64">
        <v>18</v>
      </c>
      <c r="B34" s="103">
        <f t="shared" si="0"/>
        <v>3.3354363399333065E-2</v>
      </c>
      <c r="C34" s="103">
        <v>0</v>
      </c>
      <c r="D34" s="103">
        <f t="shared" si="1"/>
        <v>0.96998107294060021</v>
      </c>
      <c r="F34" s="103">
        <f t="shared" si="2"/>
        <v>3.0018927059399791E-2</v>
      </c>
      <c r="G34" s="103">
        <f t="shared" si="3"/>
        <v>1.7298296564654005</v>
      </c>
      <c r="H34" s="103">
        <f t="shared" si="4"/>
        <v>3.3354363399333065E-2</v>
      </c>
      <c r="I34" s="103">
        <f t="shared" si="5"/>
        <v>0</v>
      </c>
      <c r="J34" s="103">
        <f t="shared" si="6"/>
        <v>1.8022719635951302E-2</v>
      </c>
    </row>
    <row r="35" spans="1:10">
      <c r="A35" s="64">
        <v>19</v>
      </c>
      <c r="B35" s="103">
        <f t="shared" si="0"/>
        <v>3.0018927059399791E-2</v>
      </c>
      <c r="C35" s="103">
        <v>0</v>
      </c>
      <c r="D35" s="103">
        <f t="shared" si="1"/>
        <v>0.97298296564654019</v>
      </c>
      <c r="F35" s="103">
        <f t="shared" si="2"/>
        <v>2.7017034353459812E-2</v>
      </c>
      <c r="G35" s="103">
        <f t="shared" si="3"/>
        <v>1.7568466908188602</v>
      </c>
      <c r="H35" s="103">
        <f t="shared" si="4"/>
        <v>3.0018927059399791E-2</v>
      </c>
      <c r="I35" s="103">
        <f t="shared" si="5"/>
        <v>0</v>
      </c>
      <c r="J35" s="103">
        <f t="shared" si="6"/>
        <v>1.4598402905120553E-2</v>
      </c>
    </row>
    <row r="36" spans="1:10">
      <c r="A36" s="64">
        <v>20</v>
      </c>
      <c r="B36" s="103">
        <f t="shared" si="0"/>
        <v>2.7017034353459812E-2</v>
      </c>
      <c r="C36" s="103">
        <v>0</v>
      </c>
      <c r="D36" s="103">
        <f t="shared" si="1"/>
        <v>0.97568466908188611</v>
      </c>
      <c r="F36" s="103">
        <f t="shared" si="2"/>
        <v>2.4315330918113887E-2</v>
      </c>
      <c r="G36" s="103">
        <f t="shared" si="3"/>
        <v>1.7811620217369741</v>
      </c>
      <c r="H36" s="103">
        <f t="shared" si="4"/>
        <v>2.7017034353459812E-2</v>
      </c>
      <c r="I36" s="103">
        <f t="shared" si="5"/>
        <v>0</v>
      </c>
      <c r="J36" s="103">
        <f t="shared" si="6"/>
        <v>1.1824706353147703E-2</v>
      </c>
    </row>
    <row r="37" spans="1:10">
      <c r="A37" s="64">
        <v>21</v>
      </c>
      <c r="B37" s="103">
        <f t="shared" si="0"/>
        <v>2.4315330918113887E-2</v>
      </c>
      <c r="C37" s="103">
        <v>0</v>
      </c>
      <c r="D37" s="103">
        <f t="shared" si="1"/>
        <v>0.97811620217369755</v>
      </c>
      <c r="F37" s="103">
        <f t="shared" si="2"/>
        <v>2.1883797826302454E-2</v>
      </c>
      <c r="G37" s="103">
        <f t="shared" si="3"/>
        <v>1.8030458195632766</v>
      </c>
      <c r="H37" s="103">
        <f t="shared" si="4"/>
        <v>2.4315330918113887E-2</v>
      </c>
      <c r="I37" s="103">
        <f t="shared" si="5"/>
        <v>0</v>
      </c>
      <c r="J37" s="103">
        <f t="shared" si="6"/>
        <v>9.5780121460495998E-3</v>
      </c>
    </row>
    <row r="38" spans="1:10">
      <c r="A38" s="64">
        <v>22</v>
      </c>
      <c r="B38" s="103">
        <f t="shared" si="0"/>
        <v>2.1883797826302454E-2</v>
      </c>
      <c r="C38" s="103">
        <v>0</v>
      </c>
      <c r="D38" s="103">
        <f t="shared" si="1"/>
        <v>0.98030458195632775</v>
      </c>
      <c r="F38" s="103">
        <f t="shared" si="2"/>
        <v>1.9695418043672253E-2</v>
      </c>
      <c r="G38" s="103">
        <f t="shared" si="3"/>
        <v>1.8227412376069489</v>
      </c>
      <c r="H38" s="103">
        <f t="shared" si="4"/>
        <v>2.1883797826302454E-2</v>
      </c>
      <c r="I38" s="103">
        <f t="shared" si="5"/>
        <v>0</v>
      </c>
      <c r="J38" s="103">
        <f t="shared" si="6"/>
        <v>7.7581898383002109E-3</v>
      </c>
    </row>
    <row r="39" spans="1:10">
      <c r="A39" s="64">
        <v>23</v>
      </c>
      <c r="B39" s="103">
        <f t="shared" si="0"/>
        <v>1.9695418043672253E-2</v>
      </c>
      <c r="C39" s="103">
        <v>0</v>
      </c>
      <c r="D39" s="103">
        <f t="shared" si="1"/>
        <v>0.98227412376069501</v>
      </c>
      <c r="F39" s="103">
        <f t="shared" si="2"/>
        <v>1.7725876239304994E-2</v>
      </c>
      <c r="G39" s="103">
        <f t="shared" si="3"/>
        <v>1.8404671138462541</v>
      </c>
      <c r="H39" s="103">
        <f t="shared" si="4"/>
        <v>1.9695418043672253E-2</v>
      </c>
      <c r="I39" s="103">
        <f t="shared" si="5"/>
        <v>0</v>
      </c>
      <c r="J39" s="103">
        <f t="shared" si="6"/>
        <v>6.2841337690231472E-3</v>
      </c>
    </row>
    <row r="40" spans="1:10">
      <c r="A40" s="64">
        <v>24</v>
      </c>
      <c r="B40" s="103">
        <f t="shared" si="0"/>
        <v>1.7725876239304994E-2</v>
      </c>
      <c r="C40" s="103">
        <v>0</v>
      </c>
      <c r="D40" s="103">
        <f t="shared" si="1"/>
        <v>0.98404671138462552</v>
      </c>
      <c r="F40" s="103">
        <f t="shared" si="2"/>
        <v>1.5953288615374484E-2</v>
      </c>
      <c r="G40" s="103">
        <f t="shared" si="3"/>
        <v>1.8564204024616284</v>
      </c>
      <c r="H40" s="103">
        <f t="shared" si="4"/>
        <v>1.7725876239304994E-2</v>
      </c>
      <c r="I40" s="103">
        <f t="shared" si="5"/>
        <v>0</v>
      </c>
      <c r="J40" s="103">
        <f t="shared" si="6"/>
        <v>5.0901483529087422E-3</v>
      </c>
    </row>
    <row r="41" spans="1:10">
      <c r="A41" s="64">
        <v>25</v>
      </c>
      <c r="B41" s="103">
        <f t="shared" si="0"/>
        <v>1.5953288615374484E-2</v>
      </c>
      <c r="C41" s="103">
        <v>0</v>
      </c>
      <c r="D41" s="103">
        <f t="shared" si="1"/>
        <v>0.98564204024616298</v>
      </c>
      <c r="F41" s="103">
        <f t="shared" si="2"/>
        <v>1.4357959753837024E-2</v>
      </c>
      <c r="G41" s="103">
        <f t="shared" si="3"/>
        <v>1.8707783622154655</v>
      </c>
      <c r="H41" s="103">
        <f t="shared" si="4"/>
        <v>1.5953288615374484E-2</v>
      </c>
      <c r="I41" s="103">
        <f t="shared" si="5"/>
        <v>0</v>
      </c>
      <c r="J41" s="103">
        <f t="shared" si="6"/>
        <v>4.1230201658560743E-3</v>
      </c>
    </row>
    <row r="42" spans="1:10">
      <c r="A42" s="64">
        <v>26</v>
      </c>
      <c r="B42" s="103">
        <f t="shared" si="0"/>
        <v>1.4357959753837024E-2</v>
      </c>
      <c r="C42" s="103">
        <v>0</v>
      </c>
      <c r="D42" s="103">
        <f t="shared" si="1"/>
        <v>0.98707783622154666</v>
      </c>
      <c r="F42" s="103">
        <f t="shared" si="2"/>
        <v>1.2922163778453344E-2</v>
      </c>
      <c r="G42" s="103">
        <f t="shared" si="3"/>
        <v>1.8837005259939188</v>
      </c>
      <c r="H42" s="103">
        <f t="shared" si="4"/>
        <v>1.4357959753837024E-2</v>
      </c>
      <c r="I42" s="103">
        <f t="shared" si="5"/>
        <v>0</v>
      </c>
      <c r="J42" s="103">
        <f t="shared" si="6"/>
        <v>3.3396463343434322E-3</v>
      </c>
    </row>
    <row r="43" spans="1:10">
      <c r="A43" s="64">
        <v>27</v>
      </c>
      <c r="B43" s="103">
        <f t="shared" si="0"/>
        <v>1.2922163778453344E-2</v>
      </c>
      <c r="C43" s="103">
        <v>0</v>
      </c>
      <c r="D43" s="103">
        <f t="shared" si="1"/>
        <v>0.98837005259939203</v>
      </c>
      <c r="F43" s="103">
        <f t="shared" si="2"/>
        <v>1.1629947400607965E-2</v>
      </c>
      <c r="G43" s="103">
        <f t="shared" si="3"/>
        <v>1.8953304733945266</v>
      </c>
      <c r="H43" s="103">
        <f t="shared" si="4"/>
        <v>1.2922163778453344E-2</v>
      </c>
      <c r="I43" s="103">
        <f t="shared" si="5"/>
        <v>0</v>
      </c>
      <c r="J43" s="103">
        <f t="shared" si="6"/>
        <v>2.7051135308181593E-3</v>
      </c>
    </row>
    <row r="44" spans="1:10">
      <c r="A44" s="64">
        <v>28</v>
      </c>
      <c r="B44" s="103">
        <f t="shared" si="0"/>
        <v>1.1629947400607965E-2</v>
      </c>
      <c r="C44" s="103">
        <v>0</v>
      </c>
      <c r="D44" s="103">
        <f t="shared" si="1"/>
        <v>0.9895330473394528</v>
      </c>
      <c r="F44" s="103">
        <f t="shared" si="2"/>
        <v>1.0466952660547202E-2</v>
      </c>
      <c r="G44" s="103">
        <f t="shared" si="3"/>
        <v>1.9057974260550739</v>
      </c>
      <c r="H44" s="103">
        <f t="shared" si="4"/>
        <v>1.1629947400607965E-2</v>
      </c>
      <c r="I44" s="103">
        <f t="shared" si="5"/>
        <v>0</v>
      </c>
      <c r="J44" s="103">
        <f t="shared" si="6"/>
        <v>2.1911419599627228E-3</v>
      </c>
    </row>
    <row r="45" spans="1:10">
      <c r="A45" s="64">
        <v>29</v>
      </c>
      <c r="B45" s="103">
        <f t="shared" si="0"/>
        <v>1.0466952660547202E-2</v>
      </c>
      <c r="C45" s="103">
        <v>0</v>
      </c>
      <c r="D45" s="103">
        <f t="shared" si="1"/>
        <v>0.99057974260550752</v>
      </c>
      <c r="F45" s="103">
        <f t="shared" si="2"/>
        <v>9.4202573944924817E-3</v>
      </c>
      <c r="G45" s="103">
        <f t="shared" si="3"/>
        <v>1.9152176834495664</v>
      </c>
      <c r="H45" s="103">
        <f t="shared" si="4"/>
        <v>1.0466952660547202E-2</v>
      </c>
      <c r="I45" s="103">
        <f t="shared" si="5"/>
        <v>0</v>
      </c>
      <c r="J45" s="103">
        <f t="shared" si="6"/>
        <v>1.7748249875698056E-3</v>
      </c>
    </row>
    <row r="46" spans="1:10">
      <c r="A46" s="64">
        <v>30</v>
      </c>
      <c r="B46" s="103">
        <f t="shared" si="0"/>
        <v>9.4202573944924817E-3</v>
      </c>
      <c r="C46" s="103">
        <v>0</v>
      </c>
      <c r="D46" s="103">
        <f t="shared" si="1"/>
        <v>0.99152176834495676</v>
      </c>
      <c r="F46" s="103">
        <f t="shared" si="2"/>
        <v>8.4782316550432446E-3</v>
      </c>
      <c r="G46" s="103">
        <f t="shared" si="3"/>
        <v>1.9236959151046098</v>
      </c>
      <c r="H46" s="103">
        <f t="shared" si="4"/>
        <v>9.4202573944924817E-3</v>
      </c>
      <c r="I46" s="103">
        <f t="shared" si="5"/>
        <v>0</v>
      </c>
      <c r="J46" s="103">
        <f t="shared" si="6"/>
        <v>1.4376082399315464E-3</v>
      </c>
    </row>
    <row r="47" spans="1:10">
      <c r="A47" s="64">
        <v>31</v>
      </c>
      <c r="B47" s="103">
        <f t="shared" si="0"/>
        <v>8.4782316550432446E-3</v>
      </c>
      <c r="C47" s="103">
        <v>0</v>
      </c>
      <c r="D47" s="103">
        <f t="shared" si="1"/>
        <v>0.99236959151046111</v>
      </c>
      <c r="F47" s="103">
        <f t="shared" si="2"/>
        <v>7.6304084895388868E-3</v>
      </c>
      <c r="G47" s="103">
        <f t="shared" si="3"/>
        <v>1.9313263235941487</v>
      </c>
      <c r="H47" s="103">
        <f t="shared" si="4"/>
        <v>8.4782316550432446E-3</v>
      </c>
      <c r="I47" s="103">
        <f t="shared" si="5"/>
        <v>0</v>
      </c>
      <c r="J47" s="103">
        <f t="shared" si="6"/>
        <v>1.1644626743445422E-3</v>
      </c>
    </row>
    <row r="48" spans="1:10">
      <c r="A48" s="64">
        <v>32</v>
      </c>
      <c r="B48" s="103">
        <f t="shared" si="0"/>
        <v>7.6304084895388868E-3</v>
      </c>
      <c r="C48" s="103">
        <v>0</v>
      </c>
      <c r="D48" s="103">
        <f t="shared" si="1"/>
        <v>0.99313263235941496</v>
      </c>
      <c r="F48" s="103">
        <f t="shared" si="2"/>
        <v>6.8673676405850426E-3</v>
      </c>
      <c r="G48" s="103">
        <f t="shared" si="3"/>
        <v>1.9381936912347337</v>
      </c>
      <c r="H48" s="103">
        <f t="shared" si="4"/>
        <v>7.6304084895388868E-3</v>
      </c>
      <c r="I48" s="103">
        <f t="shared" si="5"/>
        <v>0</v>
      </c>
      <c r="J48" s="103">
        <f t="shared" si="6"/>
        <v>9.4321476621909148E-4</v>
      </c>
    </row>
    <row r="49" spans="1:10">
      <c r="A49" s="64">
        <v>33</v>
      </c>
      <c r="B49" s="103">
        <f t="shared" si="0"/>
        <v>6.8673676405850426E-3</v>
      </c>
      <c r="C49" s="103">
        <v>0</v>
      </c>
      <c r="D49" s="103">
        <f t="shared" si="1"/>
        <v>0.99381936912347346</v>
      </c>
      <c r="F49" s="103">
        <f t="shared" si="2"/>
        <v>6.1806308765265383E-3</v>
      </c>
      <c r="G49" s="103">
        <f t="shared" si="3"/>
        <v>1.9443743221112602</v>
      </c>
      <c r="H49" s="103">
        <f t="shared" si="4"/>
        <v>6.8673676405850426E-3</v>
      </c>
      <c r="I49" s="103">
        <f t="shared" si="5"/>
        <v>0</v>
      </c>
      <c r="J49" s="103">
        <f t="shared" si="6"/>
        <v>7.6400396063746408E-4</v>
      </c>
    </row>
    <row r="50" spans="1:10">
      <c r="A50" s="64">
        <v>34</v>
      </c>
      <c r="B50" s="103">
        <f t="shared" si="0"/>
        <v>6.1806308765265383E-3</v>
      </c>
      <c r="C50" s="103">
        <v>0</v>
      </c>
      <c r="D50" s="103">
        <f t="shared" si="1"/>
        <v>0.99443743221112613</v>
      </c>
      <c r="F50" s="103">
        <f t="shared" si="2"/>
        <v>5.5625677888738734E-3</v>
      </c>
      <c r="G50" s="103">
        <f t="shared" si="3"/>
        <v>1.9499368899001341</v>
      </c>
      <c r="H50" s="103">
        <f t="shared" si="4"/>
        <v>6.1806308765265383E-3</v>
      </c>
      <c r="I50" s="103">
        <f t="shared" si="5"/>
        <v>0</v>
      </c>
      <c r="J50" s="103">
        <f t="shared" si="6"/>
        <v>6.1884320811634349E-4</v>
      </c>
    </row>
    <row r="51" spans="1:10">
      <c r="A51" s="64">
        <v>35</v>
      </c>
      <c r="B51" s="103">
        <f t="shared" si="0"/>
        <v>5.5625677888738734E-3</v>
      </c>
      <c r="C51" s="103">
        <v>0</v>
      </c>
      <c r="D51" s="103">
        <f t="shared" si="1"/>
        <v>0.9949936889900135</v>
      </c>
      <c r="F51" s="103">
        <f t="shared" si="2"/>
        <v>5.0063110099864971E-3</v>
      </c>
      <c r="G51" s="103">
        <f t="shared" si="3"/>
        <v>1.9549432009101206</v>
      </c>
      <c r="H51" s="103">
        <f t="shared" si="4"/>
        <v>5.5625677888738734E-3</v>
      </c>
      <c r="I51" s="103">
        <f t="shared" si="5"/>
        <v>0</v>
      </c>
      <c r="J51" s="103">
        <f t="shared" si="6"/>
        <v>5.0126299857424037E-4</v>
      </c>
    </row>
    <row r="52" spans="1:10">
      <c r="A52" s="64">
        <v>36</v>
      </c>
      <c r="B52" s="103">
        <f t="shared" si="0"/>
        <v>5.0063110099864971E-3</v>
      </c>
      <c r="C52" s="103">
        <v>0</v>
      </c>
      <c r="D52" s="103">
        <f t="shared" si="1"/>
        <v>0.99549432009101213</v>
      </c>
      <c r="F52" s="103">
        <f t="shared" si="2"/>
        <v>4.5056799089878696E-3</v>
      </c>
      <c r="G52" s="103">
        <f t="shared" si="3"/>
        <v>1.9594488808191084</v>
      </c>
      <c r="H52" s="103">
        <f t="shared" si="4"/>
        <v>5.0063110099864971E-3</v>
      </c>
      <c r="I52" s="103">
        <f t="shared" si="5"/>
        <v>0</v>
      </c>
      <c r="J52" s="103">
        <f t="shared" si="6"/>
        <v>4.0602302884513872E-4</v>
      </c>
    </row>
    <row r="53" spans="1:10">
      <c r="A53" s="64">
        <v>37</v>
      </c>
      <c r="B53" s="103">
        <f t="shared" si="0"/>
        <v>4.5056799089878696E-3</v>
      </c>
      <c r="C53" s="103">
        <v>0</v>
      </c>
      <c r="D53" s="103">
        <f t="shared" si="1"/>
        <v>0.99594488808191095</v>
      </c>
      <c r="F53" s="103">
        <f t="shared" si="2"/>
        <v>4.0551119180890494E-3</v>
      </c>
      <c r="G53" s="103">
        <f t="shared" si="3"/>
        <v>1.9635039927371976</v>
      </c>
      <c r="H53" s="103">
        <f t="shared" si="4"/>
        <v>4.5056799089878696E-3</v>
      </c>
      <c r="I53" s="103">
        <f t="shared" si="5"/>
        <v>0</v>
      </c>
      <c r="J53" s="103">
        <f t="shared" si="6"/>
        <v>3.2887865336455696E-4</v>
      </c>
    </row>
    <row r="54" spans="1:10">
      <c r="A54" s="64">
        <v>38</v>
      </c>
      <c r="B54" s="103">
        <f t="shared" si="0"/>
        <v>4.0551119180890494E-3</v>
      </c>
      <c r="C54" s="103">
        <v>0</v>
      </c>
      <c r="D54" s="103">
        <f t="shared" si="1"/>
        <v>0.99635039927371982</v>
      </c>
      <c r="F54" s="103">
        <f t="shared" si="2"/>
        <v>3.6496007262801777E-3</v>
      </c>
      <c r="G54" s="103">
        <f t="shared" si="3"/>
        <v>1.9671535934634776</v>
      </c>
      <c r="H54" s="103">
        <f t="shared" si="4"/>
        <v>4.0551119180890494E-3</v>
      </c>
      <c r="I54" s="103">
        <f t="shared" si="5"/>
        <v>0</v>
      </c>
      <c r="J54" s="103">
        <f t="shared" si="6"/>
        <v>2.66391709225296E-4</v>
      </c>
    </row>
    <row r="55" spans="1:10">
      <c r="A55" s="64">
        <v>39</v>
      </c>
      <c r="B55" s="103">
        <f t="shared" si="0"/>
        <v>3.6496007262801777E-3</v>
      </c>
      <c r="C55" s="103">
        <v>0</v>
      </c>
      <c r="D55" s="103">
        <f t="shared" si="1"/>
        <v>0.99671535934634781</v>
      </c>
      <c r="F55" s="103">
        <f t="shared" si="2"/>
        <v>3.2846406536521933E-3</v>
      </c>
      <c r="G55" s="103">
        <f t="shared" si="3"/>
        <v>1.9704382341171298</v>
      </c>
      <c r="H55" s="103">
        <f t="shared" si="4"/>
        <v>3.6496007262801777E-3</v>
      </c>
      <c r="I55" s="103">
        <f t="shared" si="5"/>
        <v>0</v>
      </c>
      <c r="J55" s="103">
        <f t="shared" si="6"/>
        <v>2.1577728447249415E-4</v>
      </c>
    </row>
    <row r="56" spans="1:10">
      <c r="A56" s="64">
        <v>40</v>
      </c>
      <c r="B56" s="103">
        <f t="shared" si="0"/>
        <v>3.2846406536521933E-3</v>
      </c>
      <c r="C56" s="103">
        <f t="shared" ref="C56:C100" si="7">$B$3</f>
        <v>0.4</v>
      </c>
      <c r="D56" s="103">
        <f t="shared" si="1"/>
        <v>0.95704382341171301</v>
      </c>
      <c r="F56" s="103">
        <f t="shared" si="2"/>
        <v>4.2956176588286987E-2</v>
      </c>
      <c r="G56" s="103">
        <f t="shared" si="3"/>
        <v>2.0133944107054167</v>
      </c>
      <c r="H56" s="103">
        <f t="shared" si="4"/>
        <v>3.2846406536521933E-3</v>
      </c>
      <c r="I56" s="103">
        <f t="shared" si="5"/>
        <v>0</v>
      </c>
      <c r="J56" s="103">
        <f t="shared" si="6"/>
        <v>3.69046621416819E-2</v>
      </c>
    </row>
    <row r="57" spans="1:10">
      <c r="A57" s="64">
        <v>41</v>
      </c>
      <c r="B57" s="103">
        <f t="shared" si="0"/>
        <v>4.2956176588286987E-2</v>
      </c>
      <c r="C57" s="103">
        <f t="shared" si="7"/>
        <v>0.4</v>
      </c>
      <c r="D57" s="103">
        <f t="shared" si="1"/>
        <v>0.92133944107054166</v>
      </c>
      <c r="F57" s="103">
        <f t="shared" si="2"/>
        <v>7.8660558929458335E-2</v>
      </c>
      <c r="G57" s="103">
        <f t="shared" si="3"/>
        <v>2.0920549696348751</v>
      </c>
      <c r="H57" s="103">
        <f t="shared" si="4"/>
        <v>4.2956176588286987E-2</v>
      </c>
      <c r="I57" s="103">
        <f t="shared" si="5"/>
        <v>0</v>
      </c>
      <c r="J57" s="103">
        <f t="shared" si="6"/>
        <v>0.12374967062189575</v>
      </c>
    </row>
    <row r="58" spans="1:10">
      <c r="A58" s="64">
        <v>42</v>
      </c>
      <c r="B58" s="103">
        <f t="shared" si="0"/>
        <v>7.8660558929458335E-2</v>
      </c>
      <c r="C58" s="103">
        <f t="shared" si="7"/>
        <v>0.4</v>
      </c>
      <c r="D58" s="103">
        <f t="shared" si="1"/>
        <v>0.8892054969634875</v>
      </c>
      <c r="F58" s="103">
        <f t="shared" si="2"/>
        <v>0.1107945030365125</v>
      </c>
      <c r="G58" s="103">
        <f t="shared" si="3"/>
        <v>2.2028494726713879</v>
      </c>
      <c r="H58" s="103">
        <f t="shared" si="4"/>
        <v>7.8660558929458335E-2</v>
      </c>
      <c r="I58" s="103">
        <f t="shared" si="5"/>
        <v>0</v>
      </c>
      <c r="J58" s="103">
        <f t="shared" si="6"/>
        <v>0.24550843806215558</v>
      </c>
    </row>
    <row r="59" spans="1:10">
      <c r="A59" s="64">
        <v>43</v>
      </c>
      <c r="B59" s="103">
        <f t="shared" si="0"/>
        <v>0.1107945030365125</v>
      </c>
      <c r="C59" s="103">
        <f t="shared" si="7"/>
        <v>0.4</v>
      </c>
      <c r="D59" s="103">
        <f t="shared" si="1"/>
        <v>0.86028494726713867</v>
      </c>
      <c r="F59" s="103">
        <f t="shared" si="2"/>
        <v>0.13971505273286133</v>
      </c>
      <c r="G59" s="103">
        <f t="shared" si="3"/>
        <v>2.3425645254042493</v>
      </c>
      <c r="H59" s="103">
        <f t="shared" si="4"/>
        <v>0.1107945030365125</v>
      </c>
      <c r="I59" s="103">
        <f t="shared" si="5"/>
        <v>0</v>
      </c>
      <c r="J59" s="103">
        <f t="shared" si="6"/>
        <v>0.39040591920292445</v>
      </c>
    </row>
    <row r="60" spans="1:10">
      <c r="A60" s="64">
        <v>44</v>
      </c>
      <c r="B60" s="103">
        <f t="shared" si="0"/>
        <v>0.13971505273286133</v>
      </c>
      <c r="C60" s="103">
        <f t="shared" si="7"/>
        <v>0.4</v>
      </c>
      <c r="D60" s="103">
        <f t="shared" si="1"/>
        <v>0.8342564525404248</v>
      </c>
      <c r="F60" s="103">
        <f t="shared" si="2"/>
        <v>0.1657435474595752</v>
      </c>
      <c r="G60" s="103">
        <f t="shared" si="3"/>
        <v>2.5083080728638247</v>
      </c>
      <c r="H60" s="103">
        <f t="shared" si="4"/>
        <v>0.13971505273286133</v>
      </c>
      <c r="I60" s="103">
        <f t="shared" si="5"/>
        <v>0</v>
      </c>
      <c r="J60" s="103">
        <f t="shared" si="6"/>
        <v>0.54941847048968917</v>
      </c>
    </row>
    <row r="61" spans="1:10">
      <c r="A61" s="64">
        <v>45</v>
      </c>
      <c r="B61" s="103">
        <f t="shared" si="0"/>
        <v>0.1657435474595752</v>
      </c>
      <c r="C61" s="103">
        <f t="shared" si="7"/>
        <v>0.4</v>
      </c>
      <c r="D61" s="103">
        <f t="shared" si="1"/>
        <v>0.81083080728638224</v>
      </c>
      <c r="F61" s="103">
        <f t="shared" si="2"/>
        <v>0.18916919271361776</v>
      </c>
      <c r="G61" s="103">
        <f t="shared" si="3"/>
        <v>2.6974772655774424</v>
      </c>
      <c r="H61" s="103">
        <f t="shared" si="4"/>
        <v>0.1657435474595752</v>
      </c>
      <c r="I61" s="103">
        <f t="shared" si="5"/>
        <v>0</v>
      </c>
      <c r="J61" s="103">
        <f t="shared" si="6"/>
        <v>0.7156996694384371</v>
      </c>
    </row>
    <row r="62" spans="1:10">
      <c r="A62" s="64">
        <v>46</v>
      </c>
      <c r="B62" s="103">
        <f t="shared" si="0"/>
        <v>0.18916919271361776</v>
      </c>
      <c r="C62" s="103">
        <f t="shared" si="7"/>
        <v>0.4</v>
      </c>
      <c r="D62" s="103">
        <f t="shared" si="1"/>
        <v>0.78974772655774395</v>
      </c>
      <c r="F62" s="103">
        <f t="shared" si="2"/>
        <v>0.21025227344225605</v>
      </c>
      <c r="G62" s="103">
        <f t="shared" si="3"/>
        <v>2.9077295390196984</v>
      </c>
      <c r="H62" s="103">
        <f t="shared" si="4"/>
        <v>0.18916919271361776</v>
      </c>
      <c r="I62" s="103">
        <f t="shared" si="5"/>
        <v>0</v>
      </c>
      <c r="J62" s="103">
        <f t="shared" si="6"/>
        <v>0.88412036975274422</v>
      </c>
    </row>
    <row r="63" spans="1:10">
      <c r="A63" s="64">
        <v>47</v>
      </c>
      <c r="B63" s="103">
        <f t="shared" si="0"/>
        <v>0.21025227344225605</v>
      </c>
      <c r="C63" s="103">
        <f t="shared" si="7"/>
        <v>0.4</v>
      </c>
      <c r="D63" s="103">
        <f t="shared" si="1"/>
        <v>0.77077295390196954</v>
      </c>
      <c r="F63" s="103">
        <f t="shared" si="2"/>
        <v>0.22922704609803046</v>
      </c>
      <c r="G63" s="103">
        <f t="shared" si="3"/>
        <v>3.136956585117729</v>
      </c>
      <c r="H63" s="103">
        <f t="shared" si="4"/>
        <v>0.21025227344225605</v>
      </c>
      <c r="I63" s="103">
        <f t="shared" si="5"/>
        <v>0</v>
      </c>
      <c r="J63" s="103">
        <f t="shared" si="6"/>
        <v>1.0509007732565718</v>
      </c>
    </row>
    <row r="64" spans="1:10">
      <c r="A64" s="64">
        <v>48</v>
      </c>
      <c r="B64" s="103">
        <f t="shared" si="0"/>
        <v>0.22922704609803046</v>
      </c>
      <c r="C64" s="103">
        <f t="shared" si="7"/>
        <v>0.4</v>
      </c>
      <c r="D64" s="103">
        <f t="shared" si="1"/>
        <v>0.75369565851177256</v>
      </c>
      <c r="F64" s="103">
        <f t="shared" si="2"/>
        <v>0.24630434148822744</v>
      </c>
      <c r="G64" s="103">
        <f t="shared" si="3"/>
        <v>3.3832609266059563</v>
      </c>
      <c r="H64" s="103">
        <f t="shared" si="4"/>
        <v>0.22922704609803046</v>
      </c>
      <c r="I64" s="103">
        <f t="shared" si="5"/>
        <v>0</v>
      </c>
      <c r="J64" s="103">
        <f t="shared" si="6"/>
        <v>1.213316572718987</v>
      </c>
    </row>
    <row r="65" spans="1:10">
      <c r="A65" s="64">
        <v>49</v>
      </c>
      <c r="B65" s="103">
        <f t="shared" si="0"/>
        <v>0.24630434148822744</v>
      </c>
      <c r="C65" s="103">
        <f t="shared" si="7"/>
        <v>0.4</v>
      </c>
      <c r="D65" s="103">
        <f t="shared" si="1"/>
        <v>0.73832609266059523</v>
      </c>
      <c r="F65" s="103">
        <f t="shared" si="2"/>
        <v>0.26167390733940477</v>
      </c>
      <c r="G65" s="103">
        <f t="shared" si="3"/>
        <v>3.6449348339453609</v>
      </c>
      <c r="H65" s="103">
        <f t="shared" si="4"/>
        <v>0.24630434148822744</v>
      </c>
      <c r="I65" s="103">
        <f t="shared" si="5"/>
        <v>0</v>
      </c>
      <c r="J65" s="103">
        <f t="shared" si="6"/>
        <v>1.3694646756454278</v>
      </c>
    </row>
    <row r="66" spans="1:10">
      <c r="A66" s="64">
        <v>50</v>
      </c>
      <c r="B66" s="103">
        <f t="shared" si="0"/>
        <v>0.26167390733940477</v>
      </c>
      <c r="C66" s="103">
        <f t="shared" si="7"/>
        <v>0.4</v>
      </c>
      <c r="D66" s="103">
        <f t="shared" si="1"/>
        <v>0.72449348339453568</v>
      </c>
      <c r="F66" s="103">
        <f t="shared" si="2"/>
        <v>0.27550651660546432</v>
      </c>
      <c r="G66" s="103">
        <f t="shared" si="3"/>
        <v>3.9204413505508251</v>
      </c>
      <c r="H66" s="103">
        <f t="shared" si="4"/>
        <v>0.26167390733940477</v>
      </c>
      <c r="I66" s="103">
        <f t="shared" si="5"/>
        <v>0</v>
      </c>
      <c r="J66" s="103">
        <f t="shared" si="6"/>
        <v>1.5180768138415397</v>
      </c>
    </row>
    <row r="67" spans="1:10">
      <c r="A67" s="64">
        <v>51</v>
      </c>
      <c r="B67" s="103">
        <f t="shared" si="0"/>
        <v>0.27550651660546432</v>
      </c>
      <c r="C67" s="103">
        <f t="shared" si="7"/>
        <v>0.4</v>
      </c>
      <c r="D67" s="103">
        <f t="shared" si="1"/>
        <v>0.71204413505508213</v>
      </c>
      <c r="F67" s="103">
        <f t="shared" si="2"/>
        <v>0.28795586494491787</v>
      </c>
      <c r="G67" s="103">
        <f t="shared" si="3"/>
        <v>4.2083972154957427</v>
      </c>
      <c r="H67" s="103">
        <f t="shared" si="4"/>
        <v>0.27550651660546432</v>
      </c>
      <c r="I67" s="103">
        <f t="shared" si="5"/>
        <v>0</v>
      </c>
      <c r="J67" s="103">
        <f t="shared" si="6"/>
        <v>1.6583716031235156</v>
      </c>
    </row>
    <row r="68" spans="1:10">
      <c r="A68" s="64">
        <v>52</v>
      </c>
      <c r="B68" s="103">
        <f t="shared" si="0"/>
        <v>0.28795586494491787</v>
      </c>
      <c r="C68" s="103">
        <f t="shared" si="7"/>
        <v>0.4</v>
      </c>
      <c r="D68" s="103">
        <f t="shared" si="1"/>
        <v>0.70083972154957386</v>
      </c>
      <c r="F68" s="103">
        <f t="shared" si="2"/>
        <v>0.29916027845042614</v>
      </c>
      <c r="G68" s="103">
        <f t="shared" si="3"/>
        <v>4.5075574939461687</v>
      </c>
      <c r="H68" s="103">
        <f t="shared" si="4"/>
        <v>0.28795586494491787</v>
      </c>
      <c r="I68" s="103">
        <f t="shared" si="5"/>
        <v>0</v>
      </c>
      <c r="J68" s="103">
        <f t="shared" si="6"/>
        <v>1.7899374440507301</v>
      </c>
    </row>
    <row r="69" spans="1:10">
      <c r="A69" s="64">
        <v>53</v>
      </c>
      <c r="B69" s="103">
        <f t="shared" si="0"/>
        <v>0.29916027845042614</v>
      </c>
      <c r="C69" s="103">
        <f t="shared" si="7"/>
        <v>0.4</v>
      </c>
      <c r="D69" s="103">
        <f t="shared" si="1"/>
        <v>0.69075574939461648</v>
      </c>
      <c r="F69" s="103">
        <f t="shared" si="2"/>
        <v>0.30924425060538352</v>
      </c>
      <c r="G69" s="103">
        <f t="shared" si="3"/>
        <v>4.8168017445515519</v>
      </c>
      <c r="H69" s="103">
        <f t="shared" si="4"/>
        <v>0.29916027845042614</v>
      </c>
      <c r="I69" s="103">
        <f t="shared" si="5"/>
        <v>0</v>
      </c>
      <c r="J69" s="103">
        <f t="shared" si="6"/>
        <v>1.912640130649705</v>
      </c>
    </row>
    <row r="70" spans="1:10">
      <c r="A70" s="64">
        <v>54</v>
      </c>
      <c r="B70" s="103">
        <f t="shared" si="0"/>
        <v>0.30924425060538352</v>
      </c>
      <c r="C70" s="103">
        <f t="shared" si="7"/>
        <v>0.4</v>
      </c>
      <c r="D70" s="103">
        <f t="shared" si="1"/>
        <v>0.68168017445515483</v>
      </c>
      <c r="F70" s="103">
        <f t="shared" si="2"/>
        <v>0.31831982554484517</v>
      </c>
      <c r="G70" s="103">
        <f t="shared" si="3"/>
        <v>5.1351215700963966</v>
      </c>
      <c r="H70" s="103">
        <f t="shared" si="4"/>
        <v>0.30924425060538352</v>
      </c>
      <c r="I70" s="103">
        <f t="shared" si="5"/>
        <v>0</v>
      </c>
      <c r="J70" s="103">
        <f t="shared" si="6"/>
        <v>2.0265502266980131</v>
      </c>
    </row>
    <row r="71" spans="1:10">
      <c r="A71" s="64">
        <v>55</v>
      </c>
      <c r="B71" s="103">
        <f t="shared" si="0"/>
        <v>0.31831982554484517</v>
      </c>
      <c r="C71" s="103">
        <f t="shared" si="7"/>
        <v>0.4</v>
      </c>
      <c r="D71" s="103">
        <f t="shared" si="1"/>
        <v>0.67351215700963929</v>
      </c>
      <c r="F71" s="103">
        <f t="shared" si="2"/>
        <v>0.32648784299036071</v>
      </c>
      <c r="G71" s="103">
        <f t="shared" si="3"/>
        <v>5.461609413086757</v>
      </c>
      <c r="H71" s="103">
        <f t="shared" si="4"/>
        <v>0.31831982554484517</v>
      </c>
      <c r="I71" s="103">
        <f t="shared" si="5"/>
        <v>0</v>
      </c>
      <c r="J71" s="103">
        <f t="shared" si="6"/>
        <v>2.1318862324099688</v>
      </c>
    </row>
    <row r="72" spans="1:10">
      <c r="A72" s="64">
        <v>56</v>
      </c>
      <c r="B72" s="103">
        <f t="shared" si="0"/>
        <v>0.32648784299036071</v>
      </c>
      <c r="C72" s="103">
        <f t="shared" si="7"/>
        <v>0.4</v>
      </c>
      <c r="D72" s="103">
        <f t="shared" si="1"/>
        <v>0.66616094130867531</v>
      </c>
      <c r="F72" s="103">
        <f t="shared" si="2"/>
        <v>0.33383905869132469</v>
      </c>
      <c r="G72" s="103">
        <f t="shared" si="3"/>
        <v>5.7954484717780819</v>
      </c>
      <c r="H72" s="103">
        <f t="shared" si="4"/>
        <v>0.32648784299036071</v>
      </c>
      <c r="I72" s="103">
        <f t="shared" si="5"/>
        <v>0</v>
      </c>
      <c r="J72" s="103">
        <f t="shared" si="6"/>
        <v>2.2289703421581946</v>
      </c>
    </row>
    <row r="73" spans="1:10">
      <c r="A73" s="64">
        <v>57</v>
      </c>
      <c r="B73" s="103">
        <f t="shared" si="0"/>
        <v>0.33383905869132469</v>
      </c>
      <c r="C73" s="103">
        <f t="shared" si="7"/>
        <v>0.4</v>
      </c>
      <c r="D73" s="103">
        <f t="shared" si="1"/>
        <v>0.6595448471778077</v>
      </c>
      <c r="F73" s="103">
        <f t="shared" si="2"/>
        <v>0.3404551528221923</v>
      </c>
      <c r="G73" s="103">
        <f t="shared" si="3"/>
        <v>6.1359036246002745</v>
      </c>
      <c r="H73" s="103">
        <f t="shared" si="4"/>
        <v>0.33383905869132469</v>
      </c>
      <c r="I73" s="103">
        <f t="shared" si="5"/>
        <v>0</v>
      </c>
      <c r="J73" s="103">
        <f t="shared" si="6"/>
        <v>2.3181942216636462</v>
      </c>
    </row>
    <row r="74" spans="1:10">
      <c r="A74" s="64">
        <v>58</v>
      </c>
      <c r="B74" s="103">
        <f t="shared" si="0"/>
        <v>0.3404551528221923</v>
      </c>
      <c r="C74" s="103">
        <f t="shared" si="7"/>
        <v>0.4</v>
      </c>
      <c r="D74" s="103">
        <f t="shared" si="1"/>
        <v>0.65359036246002689</v>
      </c>
      <c r="F74" s="103">
        <f t="shared" si="2"/>
        <v>0.34640963753997311</v>
      </c>
      <c r="G74" s="103">
        <f t="shared" si="3"/>
        <v>6.4823132621402477</v>
      </c>
      <c r="H74" s="103">
        <f t="shared" si="4"/>
        <v>0.3404551528221923</v>
      </c>
      <c r="I74" s="103">
        <f t="shared" si="5"/>
        <v>0</v>
      </c>
      <c r="J74" s="103">
        <f t="shared" si="6"/>
        <v>2.3999927396115113</v>
      </c>
    </row>
    <row r="75" spans="1:10">
      <c r="A75" s="64">
        <v>59</v>
      </c>
      <c r="B75" s="103">
        <f t="shared" si="0"/>
        <v>0.34640963753997311</v>
      </c>
      <c r="C75" s="103">
        <f t="shared" si="7"/>
        <v>0.4</v>
      </c>
      <c r="D75" s="103">
        <f t="shared" si="1"/>
        <v>0.64823132621402413</v>
      </c>
      <c r="F75" s="103">
        <f t="shared" si="2"/>
        <v>0.35176867378597587</v>
      </c>
      <c r="G75" s="103">
        <f t="shared" si="3"/>
        <v>6.8340819359262239</v>
      </c>
      <c r="H75" s="103">
        <f t="shared" si="4"/>
        <v>0.34640963753997311</v>
      </c>
      <c r="I75" s="103">
        <f t="shared" si="5"/>
        <v>0</v>
      </c>
      <c r="J75" s="103">
        <f t="shared" si="6"/>
        <v>2.4748239971428858</v>
      </c>
    </row>
    <row r="76" spans="1:10">
      <c r="A76" s="64">
        <v>60</v>
      </c>
      <c r="B76" s="103">
        <f t="shared" si="0"/>
        <v>0.35176867378597587</v>
      </c>
      <c r="C76" s="103">
        <f t="shared" si="7"/>
        <v>0.4</v>
      </c>
      <c r="D76" s="103">
        <f t="shared" si="1"/>
        <v>0.64340819359262169</v>
      </c>
      <c r="F76" s="103">
        <f t="shared" si="2"/>
        <v>0.35659180640737831</v>
      </c>
      <c r="G76" s="103">
        <f t="shared" si="3"/>
        <v>7.190673742333602</v>
      </c>
      <c r="H76" s="103">
        <f t="shared" si="4"/>
        <v>0.35176867378597587</v>
      </c>
      <c r="I76" s="103">
        <f t="shared" si="5"/>
        <v>0</v>
      </c>
      <c r="J76" s="103">
        <f t="shared" si="6"/>
        <v>2.5431543279375433</v>
      </c>
    </row>
    <row r="77" spans="1:10">
      <c r="A77" s="64">
        <v>61</v>
      </c>
      <c r="B77" s="103">
        <f t="shared" si="0"/>
        <v>0.35659180640737831</v>
      </c>
      <c r="C77" s="103">
        <f t="shared" si="7"/>
        <v>0.4</v>
      </c>
      <c r="D77" s="103">
        <f t="shared" si="1"/>
        <v>0.63906737423335946</v>
      </c>
      <c r="F77" s="103">
        <f t="shared" si="2"/>
        <v>0.36093262576664054</v>
      </c>
      <c r="G77" s="103">
        <f t="shared" si="3"/>
        <v>7.5516063681002423</v>
      </c>
      <c r="H77" s="103">
        <f t="shared" si="4"/>
        <v>0.35659180640737831</v>
      </c>
      <c r="I77" s="103">
        <f t="shared" si="5"/>
        <v>0</v>
      </c>
      <c r="J77" s="103">
        <f t="shared" si="6"/>
        <v>2.6054472068560357</v>
      </c>
    </row>
    <row r="78" spans="1:10">
      <c r="A78" s="64">
        <v>62</v>
      </c>
      <c r="B78" s="103">
        <f t="shared" si="0"/>
        <v>0.36093262576664054</v>
      </c>
      <c r="C78" s="103">
        <f t="shared" si="7"/>
        <v>0.4</v>
      </c>
      <c r="D78" s="103">
        <f t="shared" si="1"/>
        <v>0.63516063681002344</v>
      </c>
      <c r="F78" s="103">
        <f t="shared" si="2"/>
        <v>0.36483936318997656</v>
      </c>
      <c r="G78" s="103">
        <f t="shared" si="3"/>
        <v>7.916445731290219</v>
      </c>
      <c r="H78" s="103">
        <f t="shared" si="4"/>
        <v>0.36093262576664054</v>
      </c>
      <c r="I78" s="103">
        <f t="shared" si="5"/>
        <v>0</v>
      </c>
      <c r="J78" s="103">
        <f t="shared" si="6"/>
        <v>2.6621552186573525</v>
      </c>
    </row>
    <row r="79" spans="1:10">
      <c r="A79" s="64">
        <v>63</v>
      </c>
      <c r="B79" s="103">
        <f t="shared" si="0"/>
        <v>0.36483936318997656</v>
      </c>
      <c r="C79" s="103">
        <f t="shared" si="7"/>
        <v>0.4</v>
      </c>
      <c r="D79" s="103">
        <f t="shared" si="1"/>
        <v>0.631644573129021</v>
      </c>
      <c r="F79" s="103">
        <f t="shared" si="2"/>
        <v>0.368355426870979</v>
      </c>
      <c r="G79" s="103">
        <f t="shared" si="3"/>
        <v>8.2848011581611978</v>
      </c>
      <c r="H79" s="103">
        <f t="shared" si="4"/>
        <v>0.36483936318997656</v>
      </c>
      <c r="I79" s="103">
        <f t="shared" si="5"/>
        <v>0</v>
      </c>
      <c r="J79" s="103">
        <f t="shared" si="6"/>
        <v>2.7137144101060233</v>
      </c>
    </row>
    <row r="80" spans="1:10">
      <c r="A80" s="64">
        <v>64</v>
      </c>
      <c r="B80" s="103">
        <f t="shared" si="0"/>
        <v>0.368355426870979</v>
      </c>
      <c r="C80" s="103">
        <f t="shared" si="7"/>
        <v>0.4</v>
      </c>
      <c r="D80" s="103">
        <f t="shared" si="1"/>
        <v>0.62848011581611885</v>
      </c>
      <c r="F80" s="103">
        <f t="shared" si="2"/>
        <v>0.37151988418388115</v>
      </c>
      <c r="G80" s="103">
        <f t="shared" si="3"/>
        <v>8.6563210423450787</v>
      </c>
      <c r="H80" s="103">
        <f t="shared" si="4"/>
        <v>0.368355426870979</v>
      </c>
      <c r="I80" s="103">
        <f t="shared" si="5"/>
        <v>0</v>
      </c>
      <c r="J80" s="103">
        <f t="shared" si="6"/>
        <v>2.7605404868800894</v>
      </c>
    </row>
    <row r="81" spans="1:10">
      <c r="A81" s="64">
        <v>65</v>
      </c>
      <c r="B81" s="103">
        <f t="shared" ref="B81:B100" si="8">H81+I81</f>
        <v>0.37151988418388115</v>
      </c>
      <c r="C81" s="103">
        <f t="shared" si="7"/>
        <v>0.4</v>
      </c>
      <c r="D81" s="103">
        <f t="shared" ref="D81:D100" si="9">D80+$B$4*$B$2*B81-$B$4*$B$2*C81</f>
        <v>0.62563210423450688</v>
      </c>
      <c r="F81" s="103">
        <f t="shared" ref="F81:F100" si="10">$B$5-D81</f>
        <v>0.37436789576549312</v>
      </c>
      <c r="G81" s="103">
        <f t="shared" ref="G81:G100" si="11">F81+G80</f>
        <v>9.0306889381105719</v>
      </c>
      <c r="H81" s="103">
        <f t="shared" ref="H81:H100" si="12">$B$7*F80</f>
        <v>0.37151988418388115</v>
      </c>
      <c r="I81" s="103">
        <f t="shared" ref="I81:I100" si="13">$B$8*$B$4*G80</f>
        <v>0</v>
      </c>
      <c r="J81" s="103">
        <f t="shared" ref="J81:J100" si="14">20*F81*F81</f>
        <v>2.8030264275976626</v>
      </c>
    </row>
    <row r="82" spans="1:10">
      <c r="A82" s="64">
        <v>66</v>
      </c>
      <c r="B82" s="103">
        <f t="shared" si="8"/>
        <v>0.37436789576549312</v>
      </c>
      <c r="C82" s="103">
        <f t="shared" si="7"/>
        <v>0.4</v>
      </c>
      <c r="D82" s="103">
        <f t="shared" si="9"/>
        <v>0.62306889381105612</v>
      </c>
      <c r="F82" s="103">
        <f t="shared" si="10"/>
        <v>0.37693110618894388</v>
      </c>
      <c r="G82" s="103">
        <f t="shared" si="11"/>
        <v>9.4076200442995166</v>
      </c>
      <c r="H82" s="103">
        <f t="shared" si="12"/>
        <v>0.37436789576549312</v>
      </c>
      <c r="I82" s="103">
        <f t="shared" si="13"/>
        <v>0</v>
      </c>
      <c r="J82" s="103">
        <f t="shared" si="14"/>
        <v>2.8415411762564173</v>
      </c>
    </row>
    <row r="83" spans="1:10">
      <c r="A83" s="64">
        <v>67</v>
      </c>
      <c r="B83" s="103">
        <f t="shared" si="8"/>
        <v>0.37693110618894388</v>
      </c>
      <c r="C83" s="103">
        <f t="shared" si="7"/>
        <v>0.4</v>
      </c>
      <c r="D83" s="103">
        <f t="shared" si="9"/>
        <v>0.62076200442995044</v>
      </c>
      <c r="F83" s="103">
        <f t="shared" si="10"/>
        <v>0.37923799557004956</v>
      </c>
      <c r="G83" s="103">
        <f t="shared" si="11"/>
        <v>9.7868580398695659</v>
      </c>
      <c r="H83" s="103">
        <f t="shared" si="12"/>
        <v>0.37693110618894388</v>
      </c>
      <c r="I83" s="103">
        <f t="shared" si="13"/>
        <v>0</v>
      </c>
      <c r="J83" s="103">
        <f t="shared" si="14"/>
        <v>2.8764291456797784</v>
      </c>
    </row>
    <row r="84" spans="1:10">
      <c r="A84" s="64">
        <v>68</v>
      </c>
      <c r="B84" s="103">
        <f t="shared" si="8"/>
        <v>0.37923799557004956</v>
      </c>
      <c r="C84" s="103">
        <f t="shared" si="7"/>
        <v>0.4</v>
      </c>
      <c r="D84" s="103">
        <f t="shared" si="9"/>
        <v>0.61868580398695538</v>
      </c>
      <c r="F84" s="103">
        <f t="shared" si="10"/>
        <v>0.38131419601304462</v>
      </c>
      <c r="G84" s="103">
        <f t="shared" si="11"/>
        <v>10.168172235882611</v>
      </c>
      <c r="H84" s="103">
        <f t="shared" si="12"/>
        <v>0.37923799557004956</v>
      </c>
      <c r="I84" s="103">
        <f t="shared" si="13"/>
        <v>0</v>
      </c>
      <c r="J84" s="103">
        <f t="shared" si="14"/>
        <v>2.9080103216214921</v>
      </c>
    </row>
    <row r="85" spans="1:10">
      <c r="A85" s="64">
        <v>69</v>
      </c>
      <c r="B85" s="103">
        <f t="shared" si="8"/>
        <v>0.38131419601304462</v>
      </c>
      <c r="C85" s="103">
        <f t="shared" si="7"/>
        <v>0.4</v>
      </c>
      <c r="D85" s="103">
        <f t="shared" si="9"/>
        <v>0.61681722358825986</v>
      </c>
      <c r="F85" s="103">
        <f t="shared" si="10"/>
        <v>0.38318277641174014</v>
      </c>
      <c r="G85" s="103">
        <f t="shared" si="11"/>
        <v>10.551355012294351</v>
      </c>
      <c r="H85" s="103">
        <f t="shared" si="12"/>
        <v>0.38131419601304462</v>
      </c>
      <c r="I85" s="103">
        <f t="shared" si="13"/>
        <v>0</v>
      </c>
      <c r="J85" s="103">
        <f t="shared" si="14"/>
        <v>2.9365808027721929</v>
      </c>
    </row>
    <row r="86" spans="1:10">
      <c r="A86" s="64">
        <v>70</v>
      </c>
      <c r="B86" s="103">
        <f t="shared" si="8"/>
        <v>0.38318277641174014</v>
      </c>
      <c r="C86" s="103">
        <f t="shared" si="7"/>
        <v>0.4</v>
      </c>
      <c r="D86" s="103">
        <f t="shared" si="9"/>
        <v>0.61513550122943383</v>
      </c>
      <c r="F86" s="103">
        <f t="shared" si="10"/>
        <v>0.38486449877056617</v>
      </c>
      <c r="G86" s="103">
        <f t="shared" si="11"/>
        <v>10.936219511064918</v>
      </c>
      <c r="H86" s="103">
        <f t="shared" si="12"/>
        <v>0.38318277641174014</v>
      </c>
      <c r="I86" s="103">
        <f t="shared" si="13"/>
        <v>0</v>
      </c>
      <c r="J86" s="103">
        <f t="shared" si="14"/>
        <v>2.9624136482783823</v>
      </c>
    </row>
    <row r="87" spans="1:10">
      <c r="A87" s="64">
        <v>71</v>
      </c>
      <c r="B87" s="103">
        <f t="shared" si="8"/>
        <v>0.38486449877056617</v>
      </c>
      <c r="C87" s="103">
        <f t="shared" si="7"/>
        <v>0.4</v>
      </c>
      <c r="D87" s="103">
        <f t="shared" si="9"/>
        <v>0.61362195110649043</v>
      </c>
      <c r="F87" s="103">
        <f t="shared" si="10"/>
        <v>0.38637804889350957</v>
      </c>
      <c r="G87" s="103">
        <f t="shared" si="11"/>
        <v>11.322597559958428</v>
      </c>
      <c r="H87" s="103">
        <f t="shared" si="12"/>
        <v>0.38486449877056617</v>
      </c>
      <c r="I87" s="103">
        <f t="shared" si="13"/>
        <v>0</v>
      </c>
      <c r="J87" s="103">
        <f t="shared" si="14"/>
        <v>2.9857599333351055</v>
      </c>
    </row>
    <row r="88" spans="1:10">
      <c r="A88" s="64">
        <v>72</v>
      </c>
      <c r="B88" s="103">
        <f t="shared" si="8"/>
        <v>0.38637804889350957</v>
      </c>
      <c r="C88" s="103">
        <f t="shared" si="7"/>
        <v>0.4</v>
      </c>
      <c r="D88" s="103">
        <f t="shared" si="9"/>
        <v>0.61225975599584137</v>
      </c>
      <c r="F88" s="103">
        <f t="shared" si="10"/>
        <v>0.38774024400415863</v>
      </c>
      <c r="G88" s="103">
        <f t="shared" si="11"/>
        <v>11.710337803962586</v>
      </c>
      <c r="H88" s="103">
        <f t="shared" si="12"/>
        <v>0.38637804889350957</v>
      </c>
      <c r="I88" s="103">
        <f t="shared" si="13"/>
        <v>0</v>
      </c>
      <c r="J88" s="103">
        <f t="shared" si="14"/>
        <v>3.0068499364080896</v>
      </c>
    </row>
    <row r="89" spans="1:10">
      <c r="A89" s="64">
        <v>73</v>
      </c>
      <c r="B89" s="103">
        <f t="shared" si="8"/>
        <v>0.38774024400415863</v>
      </c>
      <c r="C89" s="103">
        <f t="shared" si="7"/>
        <v>0.4</v>
      </c>
      <c r="D89" s="103">
        <f t="shared" si="9"/>
        <v>0.61103378039625722</v>
      </c>
      <c r="F89" s="103">
        <f t="shared" si="10"/>
        <v>0.38896621960374278</v>
      </c>
      <c r="G89" s="103">
        <f t="shared" si="11"/>
        <v>12.099304023566329</v>
      </c>
      <c r="H89" s="103">
        <f t="shared" si="12"/>
        <v>0.38774024400415863</v>
      </c>
      <c r="I89" s="103">
        <f t="shared" si="13"/>
        <v>0</v>
      </c>
      <c r="J89" s="103">
        <f t="shared" si="14"/>
        <v>3.0258943998565409</v>
      </c>
    </row>
    <row r="90" spans="1:10">
      <c r="A90" s="64">
        <v>74</v>
      </c>
      <c r="B90" s="103">
        <f t="shared" si="8"/>
        <v>0.38896621960374278</v>
      </c>
      <c r="C90" s="103">
        <f t="shared" si="7"/>
        <v>0.4</v>
      </c>
      <c r="D90" s="103">
        <f t="shared" si="9"/>
        <v>0.60993040235663143</v>
      </c>
      <c r="F90" s="103">
        <f t="shared" si="10"/>
        <v>0.39006959764336857</v>
      </c>
      <c r="G90" s="103">
        <f t="shared" si="11"/>
        <v>12.489373621209698</v>
      </c>
      <c r="H90" s="103">
        <f t="shared" si="12"/>
        <v>0.38896621960374278</v>
      </c>
      <c r="I90" s="103">
        <f t="shared" si="13"/>
        <v>0</v>
      </c>
      <c r="J90" s="103">
        <f t="shared" si="14"/>
        <v>3.043085820113189</v>
      </c>
    </row>
    <row r="91" spans="1:10">
      <c r="A91" s="64">
        <v>75</v>
      </c>
      <c r="B91" s="103">
        <f t="shared" si="8"/>
        <v>0.39006959764336857</v>
      </c>
      <c r="C91" s="103">
        <f t="shared" si="7"/>
        <v>0.4</v>
      </c>
      <c r="D91" s="103">
        <f t="shared" si="9"/>
        <v>0.60893736212096827</v>
      </c>
      <c r="F91" s="103">
        <f t="shared" si="10"/>
        <v>0.39106263787903173</v>
      </c>
      <c r="G91" s="103">
        <f t="shared" si="11"/>
        <v>12.880436259088729</v>
      </c>
      <c r="H91" s="103">
        <f t="shared" si="12"/>
        <v>0.39006959764336857</v>
      </c>
      <c r="I91" s="103">
        <f t="shared" si="13"/>
        <v>0</v>
      </c>
      <c r="J91" s="103">
        <f t="shared" si="14"/>
        <v>3.058599734898134</v>
      </c>
    </row>
    <row r="92" spans="1:10">
      <c r="A92" s="64">
        <v>76</v>
      </c>
      <c r="B92" s="103">
        <f t="shared" si="8"/>
        <v>0.39106263787903173</v>
      </c>
      <c r="C92" s="103">
        <f t="shared" si="7"/>
        <v>0.4</v>
      </c>
      <c r="D92" s="103">
        <f t="shared" si="9"/>
        <v>0.6080436259088714</v>
      </c>
      <c r="F92" s="103">
        <f t="shared" si="10"/>
        <v>0.3919563740911286</v>
      </c>
      <c r="G92" s="103">
        <f t="shared" si="11"/>
        <v>13.272392633179857</v>
      </c>
      <c r="H92" s="103">
        <f t="shared" si="12"/>
        <v>0.39106263787903173</v>
      </c>
      <c r="I92" s="103">
        <f t="shared" si="13"/>
        <v>0</v>
      </c>
      <c r="J92" s="103">
        <f t="shared" si="14"/>
        <v>3.072595983813295</v>
      </c>
    </row>
    <row r="93" spans="1:10">
      <c r="A93" s="64">
        <v>77</v>
      </c>
      <c r="B93" s="103">
        <f t="shared" si="8"/>
        <v>0.3919563740911286</v>
      </c>
      <c r="C93" s="103">
        <f t="shared" si="7"/>
        <v>0.4</v>
      </c>
      <c r="D93" s="103">
        <f t="shared" si="9"/>
        <v>0.60723926331798417</v>
      </c>
      <c r="F93" s="103">
        <f t="shared" si="10"/>
        <v>0.39276073668201583</v>
      </c>
      <c r="G93" s="103">
        <f t="shared" si="11"/>
        <v>13.665153369861873</v>
      </c>
      <c r="H93" s="103">
        <f t="shared" si="12"/>
        <v>0.3919563740911286</v>
      </c>
      <c r="I93" s="103">
        <f t="shared" si="13"/>
        <v>0</v>
      </c>
      <c r="J93" s="103">
        <f t="shared" si="14"/>
        <v>3.0852199255799957</v>
      </c>
    </row>
    <row r="94" spans="1:10">
      <c r="A94" s="64">
        <v>78</v>
      </c>
      <c r="B94" s="103">
        <f t="shared" si="8"/>
        <v>0.39276073668201583</v>
      </c>
      <c r="C94" s="103">
        <f t="shared" si="7"/>
        <v>0.4</v>
      </c>
      <c r="D94" s="103">
        <f t="shared" si="9"/>
        <v>0.60651533698618576</v>
      </c>
      <c r="F94" s="103">
        <f t="shared" si="10"/>
        <v>0.39348466301381424</v>
      </c>
      <c r="G94" s="103">
        <f t="shared" si="11"/>
        <v>14.058638032875686</v>
      </c>
      <c r="H94" s="103">
        <f t="shared" si="12"/>
        <v>0.39276073668201583</v>
      </c>
      <c r="I94" s="103">
        <f t="shared" si="13"/>
        <v>0</v>
      </c>
      <c r="J94" s="103">
        <f t="shared" si="14"/>
        <v>3.0966036005418989</v>
      </c>
    </row>
    <row r="95" spans="1:10">
      <c r="A95" s="64">
        <v>79</v>
      </c>
      <c r="B95" s="103">
        <f t="shared" si="8"/>
        <v>0.39348466301381424</v>
      </c>
      <c r="C95" s="103">
        <f t="shared" si="7"/>
        <v>0.4</v>
      </c>
      <c r="D95" s="103">
        <f t="shared" si="9"/>
        <v>0.60586380328756717</v>
      </c>
      <c r="F95" s="103">
        <f t="shared" si="10"/>
        <v>0.39413619671243283</v>
      </c>
      <c r="G95" s="103">
        <f t="shared" si="11"/>
        <v>14.452774229588119</v>
      </c>
      <c r="H95" s="103">
        <f t="shared" si="12"/>
        <v>0.39348466301381424</v>
      </c>
      <c r="I95" s="103">
        <f t="shared" si="13"/>
        <v>0</v>
      </c>
      <c r="J95" s="103">
        <f t="shared" si="14"/>
        <v>3.1068668311788308</v>
      </c>
    </row>
    <row r="96" spans="1:10">
      <c r="A96" s="64">
        <v>80</v>
      </c>
      <c r="B96" s="103">
        <f t="shared" si="8"/>
        <v>0.39413619671243283</v>
      </c>
      <c r="C96" s="103">
        <f t="shared" si="7"/>
        <v>0.4</v>
      </c>
      <c r="D96" s="103">
        <f t="shared" si="9"/>
        <v>0.60527742295881037</v>
      </c>
      <c r="F96" s="103">
        <f t="shared" si="10"/>
        <v>0.39472257704118963</v>
      </c>
      <c r="G96" s="103">
        <f t="shared" si="11"/>
        <v>14.847496806629309</v>
      </c>
      <c r="H96" s="103">
        <f t="shared" si="12"/>
        <v>0.39413619671243283</v>
      </c>
      <c r="I96" s="103">
        <f t="shared" si="13"/>
        <v>0</v>
      </c>
      <c r="J96" s="103">
        <f t="shared" si="14"/>
        <v>3.1161182565207577</v>
      </c>
    </row>
    <row r="97" spans="1:10">
      <c r="A97" s="64">
        <v>81</v>
      </c>
      <c r="B97" s="103">
        <f t="shared" si="8"/>
        <v>0.39472257704118963</v>
      </c>
      <c r="C97" s="103">
        <f t="shared" si="7"/>
        <v>0.4</v>
      </c>
      <c r="D97" s="103">
        <f t="shared" si="9"/>
        <v>0.60474968066292933</v>
      </c>
      <c r="F97" s="103">
        <f t="shared" si="10"/>
        <v>0.39525031933707067</v>
      </c>
      <c r="G97" s="103">
        <f t="shared" si="11"/>
        <v>15.24274712596638</v>
      </c>
      <c r="H97" s="103">
        <f t="shared" si="12"/>
        <v>0.39472257704118963</v>
      </c>
      <c r="I97" s="103">
        <f t="shared" si="13"/>
        <v>0</v>
      </c>
      <c r="J97" s="103">
        <f t="shared" si="14"/>
        <v>3.1244562987211268</v>
      </c>
    </row>
    <row r="98" spans="1:10">
      <c r="A98" s="64">
        <v>82</v>
      </c>
      <c r="B98" s="103">
        <f t="shared" si="8"/>
        <v>0.39525031933707067</v>
      </c>
      <c r="C98" s="103">
        <f t="shared" si="7"/>
        <v>0.4</v>
      </c>
      <c r="D98" s="103">
        <f t="shared" si="9"/>
        <v>0.60427471259663634</v>
      </c>
      <c r="F98" s="103">
        <f t="shared" si="10"/>
        <v>0.39572528740336366</v>
      </c>
      <c r="G98" s="103">
        <f t="shared" si="11"/>
        <v>15.638472413369744</v>
      </c>
      <c r="H98" s="103">
        <f t="shared" si="12"/>
        <v>0.39525031933707067</v>
      </c>
      <c r="I98" s="103">
        <f t="shared" si="13"/>
        <v>0</v>
      </c>
      <c r="J98" s="103">
        <f t="shared" si="14"/>
        <v>3.1319700618094952</v>
      </c>
    </row>
    <row r="99" spans="1:10">
      <c r="A99" s="64">
        <v>83</v>
      </c>
      <c r="B99" s="103">
        <f t="shared" si="8"/>
        <v>0.39572528740336366</v>
      </c>
      <c r="C99" s="103">
        <f t="shared" si="7"/>
        <v>0.4</v>
      </c>
      <c r="D99" s="103">
        <f t="shared" si="9"/>
        <v>0.60384724133697265</v>
      </c>
      <c r="F99" s="103">
        <f t="shared" si="10"/>
        <v>0.39615275866302735</v>
      </c>
      <c r="G99" s="103">
        <f t="shared" si="11"/>
        <v>16.034625172032772</v>
      </c>
      <c r="H99" s="103">
        <f t="shared" si="12"/>
        <v>0.39572528740336366</v>
      </c>
      <c r="I99" s="103">
        <f t="shared" si="13"/>
        <v>0</v>
      </c>
      <c r="J99" s="103">
        <f t="shared" si="14"/>
        <v>3.1387401639265358</v>
      </c>
    </row>
    <row r="100" spans="1:10">
      <c r="A100" s="64">
        <v>84</v>
      </c>
      <c r="B100" s="103">
        <f t="shared" si="8"/>
        <v>0.39615275866302735</v>
      </c>
      <c r="C100" s="103">
        <f t="shared" si="7"/>
        <v>0.4</v>
      </c>
      <c r="D100" s="103">
        <f t="shared" si="9"/>
        <v>0.60346251720327537</v>
      </c>
      <c r="F100" s="103">
        <f t="shared" si="10"/>
        <v>0.39653748279672463</v>
      </c>
      <c r="G100" s="103">
        <f t="shared" si="11"/>
        <v>16.431162654829496</v>
      </c>
      <c r="H100" s="103">
        <f t="shared" si="12"/>
        <v>0.39615275866302735</v>
      </c>
      <c r="I100" s="103">
        <f t="shared" si="13"/>
        <v>0</v>
      </c>
      <c r="J100" s="103">
        <f t="shared" si="14"/>
        <v>3.1448395052552538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workbookViewId="0">
      <selection activeCell="B5" sqref="B5"/>
    </sheetView>
  </sheetViews>
  <sheetFormatPr baseColWidth="10" defaultRowHeight="15" x14ac:dyDescent="0"/>
  <cols>
    <col min="1" max="1" width="8.33203125" customWidth="1"/>
    <col min="2" max="2" width="9.33203125" customWidth="1"/>
    <col min="4" max="4" width="17.33203125" customWidth="1"/>
    <col min="9" max="9" width="11.83203125" customWidth="1"/>
  </cols>
  <sheetData>
    <row r="1" spans="1:10">
      <c r="A1" t="s">
        <v>248</v>
      </c>
    </row>
    <row r="2" spans="1:10">
      <c r="A2" t="s">
        <v>256</v>
      </c>
      <c r="B2" s="145">
        <v>1</v>
      </c>
      <c r="C2" t="s">
        <v>257</v>
      </c>
    </row>
    <row r="3" spans="1:10">
      <c r="A3" t="s">
        <v>274</v>
      </c>
      <c r="B3" s="145">
        <v>1</v>
      </c>
      <c r="C3" t="s">
        <v>259</v>
      </c>
      <c r="D3" t="s">
        <v>276</v>
      </c>
    </row>
    <row r="4" spans="1:10">
      <c r="A4" t="s">
        <v>258</v>
      </c>
      <c r="B4" s="145">
        <v>0.4</v>
      </c>
      <c r="C4" t="s">
        <v>259</v>
      </c>
      <c r="D4" t="s">
        <v>147</v>
      </c>
    </row>
    <row r="5" spans="1:10">
      <c r="A5" t="s">
        <v>210</v>
      </c>
      <c r="B5" s="145">
        <v>0.1</v>
      </c>
      <c r="C5" t="s">
        <v>34</v>
      </c>
    </row>
    <row r="6" spans="1:10">
      <c r="A6" t="s">
        <v>260</v>
      </c>
      <c r="B6" s="145">
        <v>1</v>
      </c>
      <c r="C6" t="s">
        <v>185</v>
      </c>
    </row>
    <row r="8" spans="1:10">
      <c r="A8" t="s">
        <v>273</v>
      </c>
      <c r="B8" s="154">
        <v>1</v>
      </c>
      <c r="C8" t="s">
        <v>268</v>
      </c>
    </row>
    <row r="9" spans="1:10">
      <c r="B9" s="131"/>
    </row>
    <row r="11" spans="1:10">
      <c r="A11" t="s">
        <v>250</v>
      </c>
      <c r="C11" t="s">
        <v>251</v>
      </c>
      <c r="E11" t="s">
        <v>252</v>
      </c>
    </row>
    <row r="12" spans="1:10">
      <c r="A12" t="s">
        <v>108</v>
      </c>
      <c r="C12" t="s">
        <v>255</v>
      </c>
      <c r="E12" t="s">
        <v>254</v>
      </c>
    </row>
    <row r="13" spans="1:10">
      <c r="A13" t="s">
        <v>249</v>
      </c>
      <c r="C13" t="s">
        <v>253</v>
      </c>
      <c r="E13" t="s">
        <v>254</v>
      </c>
    </row>
    <row r="15" spans="1:10">
      <c r="A15" s="64" t="s">
        <v>17</v>
      </c>
      <c r="B15" s="64" t="s">
        <v>264</v>
      </c>
      <c r="C15" s="64" t="s">
        <v>265</v>
      </c>
      <c r="D15" s="64" t="s">
        <v>266</v>
      </c>
      <c r="F15" s="64" t="s">
        <v>267</v>
      </c>
      <c r="G15" s="64" t="s">
        <v>263</v>
      </c>
      <c r="H15" s="64" t="s">
        <v>275</v>
      </c>
      <c r="I15" s="64"/>
      <c r="J15" s="64" t="s">
        <v>272</v>
      </c>
    </row>
    <row r="16" spans="1:10">
      <c r="A16" s="148">
        <v>-1</v>
      </c>
      <c r="B16" s="148">
        <v>0</v>
      </c>
      <c r="C16" s="148"/>
      <c r="D16" s="148">
        <v>0.8</v>
      </c>
      <c r="E16" s="145" t="s">
        <v>214</v>
      </c>
      <c r="F16" s="148">
        <v>0</v>
      </c>
      <c r="G16" s="148">
        <v>0</v>
      </c>
      <c r="H16" s="148">
        <v>0</v>
      </c>
      <c r="I16" s="148"/>
    </row>
    <row r="17" spans="1:10">
      <c r="A17" s="64">
        <v>0</v>
      </c>
      <c r="B17" s="103">
        <f>$B$3-H17</f>
        <v>0.19999999999999996</v>
      </c>
      <c r="C17" s="103">
        <v>0</v>
      </c>
      <c r="D17" s="103">
        <f t="shared" ref="D17:D48" si="0">D16+$B$5*$B$2*B17-$B$5*$B$2*C17</f>
        <v>0.82000000000000006</v>
      </c>
      <c r="F17" s="103">
        <f>$B$6-D17</f>
        <v>0.17999999999999994</v>
      </c>
      <c r="G17" s="103">
        <f>F17+G16</f>
        <v>0.17999999999999994</v>
      </c>
      <c r="H17" s="103">
        <f>$B$8*D16</f>
        <v>0.8</v>
      </c>
      <c r="I17" s="103"/>
      <c r="J17" s="103">
        <f>20*F17*F17</f>
        <v>0.64799999999999958</v>
      </c>
    </row>
    <row r="18" spans="1:10">
      <c r="A18" s="64">
        <v>1</v>
      </c>
      <c r="B18" s="103">
        <f t="shared" ref="B18:B81" si="1">$B$3-H18</f>
        <v>0.17999999999999994</v>
      </c>
      <c r="C18" s="103">
        <v>0</v>
      </c>
      <c r="D18" s="103">
        <f t="shared" si="0"/>
        <v>0.83800000000000008</v>
      </c>
      <c r="F18" s="103">
        <f t="shared" ref="F18:F81" si="2">$B$6-D18</f>
        <v>0.16199999999999992</v>
      </c>
      <c r="G18" s="103">
        <f t="shared" ref="G18:G81" si="3">F18+G17</f>
        <v>0.34199999999999986</v>
      </c>
      <c r="H18" s="103">
        <f t="shared" ref="H18:H81" si="4">$B$8*D17</f>
        <v>0.82000000000000006</v>
      </c>
      <c r="I18" s="103"/>
      <c r="J18" s="103">
        <f t="shared" ref="J18:J81" si="5">20*F18*F18</f>
        <v>0.52487999999999946</v>
      </c>
    </row>
    <row r="19" spans="1:10">
      <c r="A19" s="64">
        <v>2</v>
      </c>
      <c r="B19" s="103">
        <f t="shared" si="1"/>
        <v>0.16199999999999992</v>
      </c>
      <c r="C19" s="103">
        <v>0</v>
      </c>
      <c r="D19" s="103">
        <f t="shared" si="0"/>
        <v>0.85420000000000007</v>
      </c>
      <c r="F19" s="103">
        <f t="shared" si="2"/>
        <v>0.14579999999999993</v>
      </c>
      <c r="G19" s="103">
        <f t="shared" si="3"/>
        <v>0.48779999999999979</v>
      </c>
      <c r="H19" s="103">
        <f t="shared" si="4"/>
        <v>0.83800000000000008</v>
      </c>
      <c r="I19" s="103"/>
      <c r="J19" s="103">
        <f t="shared" si="5"/>
        <v>0.42515279999999961</v>
      </c>
    </row>
    <row r="20" spans="1:10">
      <c r="A20" s="64">
        <v>3</v>
      </c>
      <c r="B20" s="103">
        <f t="shared" si="1"/>
        <v>0.14579999999999993</v>
      </c>
      <c r="C20" s="103">
        <v>0</v>
      </c>
      <c r="D20" s="103">
        <f t="shared" si="0"/>
        <v>0.86878000000000011</v>
      </c>
      <c r="F20" s="103">
        <f t="shared" si="2"/>
        <v>0.13121999999999989</v>
      </c>
      <c r="G20" s="103">
        <f t="shared" si="3"/>
        <v>0.61901999999999968</v>
      </c>
      <c r="H20" s="103">
        <f t="shared" si="4"/>
        <v>0.85420000000000007</v>
      </c>
      <c r="I20" s="103"/>
      <c r="J20" s="103">
        <f t="shared" si="5"/>
        <v>0.34437376799999941</v>
      </c>
    </row>
    <row r="21" spans="1:10">
      <c r="A21" s="64">
        <v>4</v>
      </c>
      <c r="B21" s="103">
        <f t="shared" si="1"/>
        <v>0.13121999999999989</v>
      </c>
      <c r="C21" s="103">
        <v>0</v>
      </c>
      <c r="D21" s="103">
        <f t="shared" si="0"/>
        <v>0.88190200000000007</v>
      </c>
      <c r="F21" s="103">
        <f t="shared" si="2"/>
        <v>0.11809799999999993</v>
      </c>
      <c r="G21" s="103">
        <f t="shared" si="3"/>
        <v>0.73711799999999961</v>
      </c>
      <c r="H21" s="103">
        <f t="shared" si="4"/>
        <v>0.86878000000000011</v>
      </c>
      <c r="I21" s="103"/>
      <c r="J21" s="103">
        <f t="shared" si="5"/>
        <v>0.27894275207999963</v>
      </c>
    </row>
    <row r="22" spans="1:10">
      <c r="A22" s="64">
        <v>5</v>
      </c>
      <c r="B22" s="103">
        <f t="shared" si="1"/>
        <v>0.11809799999999993</v>
      </c>
      <c r="C22" s="103">
        <v>0</v>
      </c>
      <c r="D22" s="103">
        <f t="shared" si="0"/>
        <v>0.89371180000000006</v>
      </c>
      <c r="F22" s="103">
        <f t="shared" si="2"/>
        <v>0.10628819999999994</v>
      </c>
      <c r="G22" s="103">
        <f t="shared" si="3"/>
        <v>0.84340619999999955</v>
      </c>
      <c r="H22" s="103">
        <f t="shared" si="4"/>
        <v>0.88190200000000007</v>
      </c>
      <c r="I22" s="103"/>
      <c r="J22" s="103">
        <f t="shared" si="5"/>
        <v>0.22594362918479977</v>
      </c>
    </row>
    <row r="23" spans="1:10">
      <c r="A23" s="64">
        <v>6</v>
      </c>
      <c r="B23" s="103">
        <f t="shared" si="1"/>
        <v>0.10628819999999994</v>
      </c>
      <c r="C23" s="103">
        <v>0</v>
      </c>
      <c r="D23" s="103">
        <f t="shared" si="0"/>
        <v>0.90434062000000004</v>
      </c>
      <c r="F23" s="103">
        <f t="shared" si="2"/>
        <v>9.5659379999999961E-2</v>
      </c>
      <c r="G23" s="103">
        <f t="shared" si="3"/>
        <v>0.93906557999999951</v>
      </c>
      <c r="H23" s="103">
        <f t="shared" si="4"/>
        <v>0.89371180000000006</v>
      </c>
      <c r="I23" s="103"/>
      <c r="J23" s="103">
        <f t="shared" si="5"/>
        <v>0.18301433963968786</v>
      </c>
    </row>
    <row r="24" spans="1:10">
      <c r="A24" s="64">
        <v>7</v>
      </c>
      <c r="B24" s="103">
        <f t="shared" si="1"/>
        <v>9.5659379999999961E-2</v>
      </c>
      <c r="C24" s="103">
        <v>0</v>
      </c>
      <c r="D24" s="103">
        <f t="shared" si="0"/>
        <v>0.91390655800000009</v>
      </c>
      <c r="F24" s="103">
        <f t="shared" si="2"/>
        <v>8.6093441999999909E-2</v>
      </c>
      <c r="G24" s="103">
        <f t="shared" si="3"/>
        <v>1.0251590219999995</v>
      </c>
      <c r="H24" s="103">
        <f t="shared" si="4"/>
        <v>0.90434062000000004</v>
      </c>
      <c r="I24" s="103"/>
      <c r="J24" s="103">
        <f t="shared" si="5"/>
        <v>0.14824161510814696</v>
      </c>
    </row>
    <row r="25" spans="1:10">
      <c r="A25" s="64">
        <v>8</v>
      </c>
      <c r="B25" s="103">
        <f t="shared" si="1"/>
        <v>8.6093441999999909E-2</v>
      </c>
      <c r="C25" s="103">
        <v>0</v>
      </c>
      <c r="D25" s="103">
        <f t="shared" si="0"/>
        <v>0.92251590220000013</v>
      </c>
      <c r="F25" s="103">
        <f t="shared" si="2"/>
        <v>7.7484097799999874E-2</v>
      </c>
      <c r="G25" s="103">
        <f t="shared" si="3"/>
        <v>1.1026431197999993</v>
      </c>
      <c r="H25" s="103">
        <f t="shared" si="4"/>
        <v>0.91390655800000009</v>
      </c>
      <c r="I25" s="103"/>
      <c r="J25" s="103">
        <f t="shared" si="5"/>
        <v>0.1200757082375989</v>
      </c>
    </row>
    <row r="26" spans="1:10">
      <c r="A26" s="64">
        <v>9</v>
      </c>
      <c r="B26" s="103">
        <f t="shared" si="1"/>
        <v>7.7484097799999874E-2</v>
      </c>
      <c r="C26" s="103">
        <v>0</v>
      </c>
      <c r="D26" s="103">
        <f t="shared" si="0"/>
        <v>0.93026431198000015</v>
      </c>
      <c r="F26" s="103">
        <f t="shared" si="2"/>
        <v>6.9735688019999853E-2</v>
      </c>
      <c r="G26" s="103">
        <f t="shared" si="3"/>
        <v>1.172378807819999</v>
      </c>
      <c r="H26" s="103">
        <f t="shared" si="4"/>
        <v>0.92251590220000013</v>
      </c>
      <c r="I26" s="103"/>
      <c r="J26" s="103">
        <f t="shared" si="5"/>
        <v>9.7261323672455019E-2</v>
      </c>
    </row>
    <row r="27" spans="1:10">
      <c r="A27" s="64">
        <v>10</v>
      </c>
      <c r="B27" s="103">
        <f t="shared" si="1"/>
        <v>6.9735688019999853E-2</v>
      </c>
      <c r="C27" s="103">
        <v>0</v>
      </c>
      <c r="D27" s="103">
        <f t="shared" si="0"/>
        <v>0.9372378807820001</v>
      </c>
      <c r="F27" s="103">
        <f t="shared" si="2"/>
        <v>6.2762119217999901E-2</v>
      </c>
      <c r="G27" s="103">
        <f t="shared" si="3"/>
        <v>1.2351409270379989</v>
      </c>
      <c r="H27" s="103">
        <f t="shared" si="4"/>
        <v>0.93026431198000015</v>
      </c>
      <c r="I27" s="103"/>
      <c r="J27" s="103">
        <f t="shared" si="5"/>
        <v>7.8781672174688649E-2</v>
      </c>
    </row>
    <row r="28" spans="1:10">
      <c r="A28" s="64">
        <v>11</v>
      </c>
      <c r="B28" s="103">
        <f t="shared" si="1"/>
        <v>6.2762119217999901E-2</v>
      </c>
      <c r="C28" s="103">
        <v>0</v>
      </c>
      <c r="D28" s="103">
        <f t="shared" si="0"/>
        <v>0.94351409270380004</v>
      </c>
      <c r="F28" s="103">
        <f t="shared" si="2"/>
        <v>5.6485907296199955E-2</v>
      </c>
      <c r="G28" s="103">
        <f t="shared" si="3"/>
        <v>1.291626834334199</v>
      </c>
      <c r="H28" s="103">
        <f t="shared" si="4"/>
        <v>0.9372378807820001</v>
      </c>
      <c r="I28" s="103"/>
      <c r="J28" s="103">
        <f t="shared" si="5"/>
        <v>6.3813154461497906E-2</v>
      </c>
    </row>
    <row r="29" spans="1:10">
      <c r="A29" s="64">
        <v>12</v>
      </c>
      <c r="B29" s="103">
        <f t="shared" si="1"/>
        <v>5.6485907296199955E-2</v>
      </c>
      <c r="C29" s="103">
        <v>0</v>
      </c>
      <c r="D29" s="103">
        <f t="shared" si="0"/>
        <v>0.94916268343342003</v>
      </c>
      <c r="F29" s="103">
        <f t="shared" si="2"/>
        <v>5.0837316566579971E-2</v>
      </c>
      <c r="G29" s="103">
        <f t="shared" si="3"/>
        <v>1.3424641509007791</v>
      </c>
      <c r="H29" s="103">
        <f t="shared" si="4"/>
        <v>0.94351409270380004</v>
      </c>
      <c r="I29" s="103"/>
      <c r="J29" s="103">
        <f t="shared" si="5"/>
        <v>5.1688655113813327E-2</v>
      </c>
    </row>
    <row r="30" spans="1:10">
      <c r="A30" s="64">
        <v>13</v>
      </c>
      <c r="B30" s="103">
        <f t="shared" si="1"/>
        <v>5.0837316566579971E-2</v>
      </c>
      <c r="C30" s="103">
        <v>0</v>
      </c>
      <c r="D30" s="103">
        <f t="shared" si="0"/>
        <v>0.95424641509007802</v>
      </c>
      <c r="F30" s="103">
        <f t="shared" si="2"/>
        <v>4.5753584909921985E-2</v>
      </c>
      <c r="G30" s="103">
        <f t="shared" si="3"/>
        <v>1.3882177358107011</v>
      </c>
      <c r="H30" s="103">
        <f t="shared" si="4"/>
        <v>0.94916268343342003</v>
      </c>
      <c r="I30" s="103"/>
      <c r="J30" s="103">
        <f t="shared" si="5"/>
        <v>4.1867810642188814E-2</v>
      </c>
    </row>
    <row r="31" spans="1:10">
      <c r="A31" s="64">
        <v>14</v>
      </c>
      <c r="B31" s="103">
        <f t="shared" si="1"/>
        <v>4.5753584909921985E-2</v>
      </c>
      <c r="C31" s="103">
        <v>0</v>
      </c>
      <c r="D31" s="103">
        <f t="shared" si="0"/>
        <v>0.95882177358107024</v>
      </c>
      <c r="F31" s="103">
        <f t="shared" si="2"/>
        <v>4.1178226418929764E-2</v>
      </c>
      <c r="G31" s="103">
        <f t="shared" si="3"/>
        <v>1.4293959622296308</v>
      </c>
      <c r="H31" s="103">
        <f t="shared" si="4"/>
        <v>0.95424641509007802</v>
      </c>
      <c r="I31" s="103"/>
      <c r="J31" s="103">
        <f t="shared" si="5"/>
        <v>3.3912926620172902E-2</v>
      </c>
    </row>
    <row r="32" spans="1:10">
      <c r="A32" s="64">
        <v>15</v>
      </c>
      <c r="B32" s="103">
        <f t="shared" si="1"/>
        <v>4.1178226418929764E-2</v>
      </c>
      <c r="C32" s="103">
        <v>0</v>
      </c>
      <c r="D32" s="103">
        <f t="shared" si="0"/>
        <v>0.96293959622296321</v>
      </c>
      <c r="F32" s="103">
        <f t="shared" si="2"/>
        <v>3.7060403777036788E-2</v>
      </c>
      <c r="G32" s="103">
        <f t="shared" si="3"/>
        <v>1.4664563660066676</v>
      </c>
      <c r="H32" s="103">
        <f t="shared" si="4"/>
        <v>0.95882177358107024</v>
      </c>
      <c r="I32" s="103"/>
      <c r="J32" s="103">
        <f t="shared" si="5"/>
        <v>2.7469470562340052E-2</v>
      </c>
    </row>
    <row r="33" spans="1:10">
      <c r="A33" s="64">
        <v>16</v>
      </c>
      <c r="B33" s="103">
        <f t="shared" si="1"/>
        <v>3.7060403777036788E-2</v>
      </c>
      <c r="C33" s="103">
        <v>0</v>
      </c>
      <c r="D33" s="103">
        <f t="shared" si="0"/>
        <v>0.96664563660066694</v>
      </c>
      <c r="F33" s="103">
        <f t="shared" si="2"/>
        <v>3.3354363399333065E-2</v>
      </c>
      <c r="G33" s="103">
        <f t="shared" si="3"/>
        <v>1.4998107294060006</v>
      </c>
      <c r="H33" s="103">
        <f t="shared" si="4"/>
        <v>0.96293959622296321</v>
      </c>
      <c r="I33" s="103"/>
      <c r="J33" s="103">
        <f t="shared" si="5"/>
        <v>2.2250271155495382E-2</v>
      </c>
    </row>
    <row r="34" spans="1:10">
      <c r="A34" s="64">
        <v>17</v>
      </c>
      <c r="B34" s="103">
        <f t="shared" si="1"/>
        <v>3.3354363399333065E-2</v>
      </c>
      <c r="C34" s="103">
        <v>0</v>
      </c>
      <c r="D34" s="103">
        <f t="shared" si="0"/>
        <v>0.96998107294060021</v>
      </c>
      <c r="F34" s="103">
        <f t="shared" si="2"/>
        <v>3.0018927059399791E-2</v>
      </c>
      <c r="G34" s="103">
        <f t="shared" si="3"/>
        <v>1.5298296564654004</v>
      </c>
      <c r="H34" s="103">
        <f t="shared" si="4"/>
        <v>0.96664563660066694</v>
      </c>
      <c r="I34" s="103"/>
      <c r="J34" s="103">
        <f t="shared" si="5"/>
        <v>1.8022719635951302E-2</v>
      </c>
    </row>
    <row r="35" spans="1:10">
      <c r="A35" s="64">
        <v>18</v>
      </c>
      <c r="B35" s="103">
        <f t="shared" si="1"/>
        <v>3.0018927059399791E-2</v>
      </c>
      <c r="C35" s="103">
        <v>0</v>
      </c>
      <c r="D35" s="103">
        <f t="shared" si="0"/>
        <v>0.97298296564654019</v>
      </c>
      <c r="F35" s="103">
        <f t="shared" si="2"/>
        <v>2.7017034353459812E-2</v>
      </c>
      <c r="G35" s="103">
        <f t="shared" si="3"/>
        <v>1.5568466908188601</v>
      </c>
      <c r="H35" s="103">
        <f t="shared" si="4"/>
        <v>0.96998107294060021</v>
      </c>
      <c r="I35" s="103"/>
      <c r="J35" s="103">
        <f t="shared" si="5"/>
        <v>1.4598402905120553E-2</v>
      </c>
    </row>
    <row r="36" spans="1:10">
      <c r="A36" s="64">
        <v>19</v>
      </c>
      <c r="B36" s="103">
        <f t="shared" si="1"/>
        <v>2.7017034353459812E-2</v>
      </c>
      <c r="C36" s="103">
        <v>0</v>
      </c>
      <c r="D36" s="103">
        <f t="shared" si="0"/>
        <v>0.97568466908188611</v>
      </c>
      <c r="F36" s="103">
        <f t="shared" si="2"/>
        <v>2.4315330918113887E-2</v>
      </c>
      <c r="G36" s="103">
        <f t="shared" si="3"/>
        <v>1.581162021736974</v>
      </c>
      <c r="H36" s="103">
        <f t="shared" si="4"/>
        <v>0.97298296564654019</v>
      </c>
      <c r="I36" s="103"/>
      <c r="J36" s="103">
        <f t="shared" si="5"/>
        <v>1.1824706353147703E-2</v>
      </c>
    </row>
    <row r="37" spans="1:10">
      <c r="A37" s="64">
        <v>20</v>
      </c>
      <c r="B37" s="103">
        <f t="shared" si="1"/>
        <v>2.4315330918113887E-2</v>
      </c>
      <c r="C37" s="103">
        <v>0</v>
      </c>
      <c r="D37" s="103">
        <f t="shared" si="0"/>
        <v>0.97811620217369755</v>
      </c>
      <c r="F37" s="103">
        <f t="shared" si="2"/>
        <v>2.1883797826302454E-2</v>
      </c>
      <c r="G37" s="103">
        <f t="shared" si="3"/>
        <v>1.6030458195632764</v>
      </c>
      <c r="H37" s="103">
        <f t="shared" si="4"/>
        <v>0.97568466908188611</v>
      </c>
      <c r="I37" s="103"/>
      <c r="J37" s="103">
        <f t="shared" si="5"/>
        <v>9.5780121460495998E-3</v>
      </c>
    </row>
    <row r="38" spans="1:10">
      <c r="A38" s="64">
        <v>21</v>
      </c>
      <c r="B38" s="103">
        <f t="shared" si="1"/>
        <v>2.1883797826302454E-2</v>
      </c>
      <c r="C38" s="103">
        <v>0</v>
      </c>
      <c r="D38" s="103">
        <f t="shared" si="0"/>
        <v>0.98030458195632775</v>
      </c>
      <c r="F38" s="103">
        <f t="shared" si="2"/>
        <v>1.9695418043672253E-2</v>
      </c>
      <c r="G38" s="103">
        <f t="shared" si="3"/>
        <v>1.6227412376069488</v>
      </c>
      <c r="H38" s="103">
        <f t="shared" si="4"/>
        <v>0.97811620217369755</v>
      </c>
      <c r="I38" s="103"/>
      <c r="J38" s="103">
        <f t="shared" si="5"/>
        <v>7.7581898383002109E-3</v>
      </c>
    </row>
    <row r="39" spans="1:10">
      <c r="A39" s="64">
        <v>22</v>
      </c>
      <c r="B39" s="103">
        <f t="shared" si="1"/>
        <v>1.9695418043672253E-2</v>
      </c>
      <c r="C39" s="103">
        <v>0</v>
      </c>
      <c r="D39" s="103">
        <f t="shared" si="0"/>
        <v>0.98227412376069501</v>
      </c>
      <c r="F39" s="103">
        <f t="shared" si="2"/>
        <v>1.7725876239304994E-2</v>
      </c>
      <c r="G39" s="103">
        <f t="shared" si="3"/>
        <v>1.6404671138462539</v>
      </c>
      <c r="H39" s="103">
        <f t="shared" si="4"/>
        <v>0.98030458195632775</v>
      </c>
      <c r="I39" s="103"/>
      <c r="J39" s="103">
        <f t="shared" si="5"/>
        <v>6.2841337690231472E-3</v>
      </c>
    </row>
    <row r="40" spans="1:10">
      <c r="A40" s="64">
        <v>23</v>
      </c>
      <c r="B40" s="103">
        <f t="shared" si="1"/>
        <v>1.7725876239304994E-2</v>
      </c>
      <c r="C40" s="103">
        <v>0</v>
      </c>
      <c r="D40" s="103">
        <f t="shared" si="0"/>
        <v>0.98404671138462552</v>
      </c>
      <c r="F40" s="103">
        <f t="shared" si="2"/>
        <v>1.5953288615374484E-2</v>
      </c>
      <c r="G40" s="103">
        <f t="shared" si="3"/>
        <v>1.6564204024616282</v>
      </c>
      <c r="H40" s="103">
        <f t="shared" si="4"/>
        <v>0.98227412376069501</v>
      </c>
      <c r="I40" s="103"/>
      <c r="J40" s="103">
        <f t="shared" si="5"/>
        <v>5.0901483529087422E-3</v>
      </c>
    </row>
    <row r="41" spans="1:10">
      <c r="A41" s="64">
        <v>24</v>
      </c>
      <c r="B41" s="103">
        <f t="shared" si="1"/>
        <v>1.5953288615374484E-2</v>
      </c>
      <c r="C41" s="103">
        <v>0</v>
      </c>
      <c r="D41" s="103">
        <f t="shared" si="0"/>
        <v>0.98564204024616298</v>
      </c>
      <c r="F41" s="103">
        <f t="shared" si="2"/>
        <v>1.4357959753837024E-2</v>
      </c>
      <c r="G41" s="103">
        <f t="shared" si="3"/>
        <v>1.6707783622154653</v>
      </c>
      <c r="H41" s="103">
        <f t="shared" si="4"/>
        <v>0.98404671138462552</v>
      </c>
      <c r="I41" s="103"/>
      <c r="J41" s="103">
        <f t="shared" si="5"/>
        <v>4.1230201658560743E-3</v>
      </c>
    </row>
    <row r="42" spans="1:10">
      <c r="A42" s="64">
        <v>25</v>
      </c>
      <c r="B42" s="103">
        <f t="shared" si="1"/>
        <v>1.4357959753837024E-2</v>
      </c>
      <c r="C42" s="103">
        <v>0</v>
      </c>
      <c r="D42" s="103">
        <f t="shared" si="0"/>
        <v>0.98707783622154666</v>
      </c>
      <c r="F42" s="103">
        <f t="shared" si="2"/>
        <v>1.2922163778453344E-2</v>
      </c>
      <c r="G42" s="103">
        <f t="shared" si="3"/>
        <v>1.6837005259939186</v>
      </c>
      <c r="H42" s="103">
        <f t="shared" si="4"/>
        <v>0.98564204024616298</v>
      </c>
      <c r="I42" s="103"/>
      <c r="J42" s="103">
        <f t="shared" si="5"/>
        <v>3.3396463343434322E-3</v>
      </c>
    </row>
    <row r="43" spans="1:10">
      <c r="A43" s="64">
        <v>26</v>
      </c>
      <c r="B43" s="103">
        <f t="shared" si="1"/>
        <v>1.2922163778453344E-2</v>
      </c>
      <c r="C43" s="103">
        <v>0</v>
      </c>
      <c r="D43" s="103">
        <f t="shared" si="0"/>
        <v>0.98837005259939203</v>
      </c>
      <c r="F43" s="103">
        <f t="shared" si="2"/>
        <v>1.1629947400607965E-2</v>
      </c>
      <c r="G43" s="103">
        <f t="shared" si="3"/>
        <v>1.6953304733945265</v>
      </c>
      <c r="H43" s="103">
        <f t="shared" si="4"/>
        <v>0.98707783622154666</v>
      </c>
      <c r="I43" s="103"/>
      <c r="J43" s="103">
        <f t="shared" si="5"/>
        <v>2.7051135308181593E-3</v>
      </c>
    </row>
    <row r="44" spans="1:10">
      <c r="A44" s="64">
        <v>27</v>
      </c>
      <c r="B44" s="103">
        <f t="shared" si="1"/>
        <v>1.1629947400607965E-2</v>
      </c>
      <c r="C44" s="103">
        <v>0</v>
      </c>
      <c r="D44" s="103">
        <f t="shared" si="0"/>
        <v>0.9895330473394528</v>
      </c>
      <c r="F44" s="103">
        <f t="shared" si="2"/>
        <v>1.0466952660547202E-2</v>
      </c>
      <c r="G44" s="103">
        <f t="shared" si="3"/>
        <v>1.7057974260550737</v>
      </c>
      <c r="H44" s="103">
        <f t="shared" si="4"/>
        <v>0.98837005259939203</v>
      </c>
      <c r="I44" s="103"/>
      <c r="J44" s="103">
        <f t="shared" si="5"/>
        <v>2.1911419599627228E-3</v>
      </c>
    </row>
    <row r="45" spans="1:10">
      <c r="A45" s="64">
        <v>28</v>
      </c>
      <c r="B45" s="103">
        <f t="shared" si="1"/>
        <v>1.0466952660547202E-2</v>
      </c>
      <c r="C45" s="103">
        <v>0</v>
      </c>
      <c r="D45" s="103">
        <f t="shared" si="0"/>
        <v>0.99057974260550752</v>
      </c>
      <c r="F45" s="103">
        <f t="shared" si="2"/>
        <v>9.4202573944924817E-3</v>
      </c>
      <c r="G45" s="103">
        <f t="shared" si="3"/>
        <v>1.7152176834495663</v>
      </c>
      <c r="H45" s="103">
        <f t="shared" si="4"/>
        <v>0.9895330473394528</v>
      </c>
      <c r="I45" s="103"/>
      <c r="J45" s="103">
        <f t="shared" si="5"/>
        <v>1.7748249875698056E-3</v>
      </c>
    </row>
    <row r="46" spans="1:10">
      <c r="A46" s="64">
        <v>29</v>
      </c>
      <c r="B46" s="103">
        <f t="shared" si="1"/>
        <v>9.4202573944924817E-3</v>
      </c>
      <c r="C46" s="103">
        <v>0</v>
      </c>
      <c r="D46" s="103">
        <f t="shared" si="0"/>
        <v>0.99152176834495676</v>
      </c>
      <c r="F46" s="103">
        <f t="shared" si="2"/>
        <v>8.4782316550432446E-3</v>
      </c>
      <c r="G46" s="103">
        <f t="shared" si="3"/>
        <v>1.7236959151046096</v>
      </c>
      <c r="H46" s="103">
        <f t="shared" si="4"/>
        <v>0.99057974260550752</v>
      </c>
      <c r="I46" s="103"/>
      <c r="J46" s="103">
        <f t="shared" si="5"/>
        <v>1.4376082399315464E-3</v>
      </c>
    </row>
    <row r="47" spans="1:10">
      <c r="A47" s="64">
        <v>30</v>
      </c>
      <c r="B47" s="103">
        <f t="shared" si="1"/>
        <v>8.4782316550432446E-3</v>
      </c>
      <c r="C47" s="103">
        <v>0</v>
      </c>
      <c r="D47" s="103">
        <f t="shared" si="0"/>
        <v>0.99236959151046111</v>
      </c>
      <c r="F47" s="103">
        <f t="shared" si="2"/>
        <v>7.6304084895388868E-3</v>
      </c>
      <c r="G47" s="103">
        <f t="shared" si="3"/>
        <v>1.7313263235941485</v>
      </c>
      <c r="H47" s="103">
        <f t="shared" si="4"/>
        <v>0.99152176834495676</v>
      </c>
      <c r="I47" s="103"/>
      <c r="J47" s="103">
        <f t="shared" si="5"/>
        <v>1.1644626743445422E-3</v>
      </c>
    </row>
    <row r="48" spans="1:10">
      <c r="A48" s="64">
        <v>31</v>
      </c>
      <c r="B48" s="103">
        <f t="shared" si="1"/>
        <v>7.6304084895388868E-3</v>
      </c>
      <c r="C48" s="103">
        <v>0</v>
      </c>
      <c r="D48" s="103">
        <f t="shared" si="0"/>
        <v>0.99313263235941496</v>
      </c>
      <c r="F48" s="103">
        <f t="shared" si="2"/>
        <v>6.8673676405850426E-3</v>
      </c>
      <c r="G48" s="103">
        <f t="shared" si="3"/>
        <v>1.7381936912347336</v>
      </c>
      <c r="H48" s="103">
        <f t="shared" si="4"/>
        <v>0.99236959151046111</v>
      </c>
      <c r="I48" s="103"/>
      <c r="J48" s="103">
        <f t="shared" si="5"/>
        <v>9.4321476621909148E-4</v>
      </c>
    </row>
    <row r="49" spans="1:10">
      <c r="A49" s="64">
        <v>32</v>
      </c>
      <c r="B49" s="103">
        <f t="shared" si="1"/>
        <v>6.8673676405850426E-3</v>
      </c>
      <c r="C49" s="103">
        <v>0</v>
      </c>
      <c r="D49" s="103">
        <f t="shared" ref="D49:D80" si="6">D48+$B$5*$B$2*B49-$B$5*$B$2*C49</f>
        <v>0.99381936912347346</v>
      </c>
      <c r="F49" s="103">
        <f t="shared" si="2"/>
        <v>6.1806308765265383E-3</v>
      </c>
      <c r="G49" s="103">
        <f t="shared" si="3"/>
        <v>1.74437432211126</v>
      </c>
      <c r="H49" s="103">
        <f t="shared" si="4"/>
        <v>0.99313263235941496</v>
      </c>
      <c r="I49" s="103"/>
      <c r="J49" s="103">
        <f t="shared" si="5"/>
        <v>7.6400396063746408E-4</v>
      </c>
    </row>
    <row r="50" spans="1:10">
      <c r="A50" s="64">
        <v>33</v>
      </c>
      <c r="B50" s="103">
        <f t="shared" si="1"/>
        <v>6.1806308765265383E-3</v>
      </c>
      <c r="C50" s="103">
        <v>0</v>
      </c>
      <c r="D50" s="103">
        <f t="shared" si="6"/>
        <v>0.99443743221112613</v>
      </c>
      <c r="F50" s="103">
        <f t="shared" si="2"/>
        <v>5.5625677888738734E-3</v>
      </c>
      <c r="G50" s="103">
        <f t="shared" si="3"/>
        <v>1.749936889900134</v>
      </c>
      <c r="H50" s="103">
        <f t="shared" si="4"/>
        <v>0.99381936912347346</v>
      </c>
      <c r="I50" s="103"/>
      <c r="J50" s="103">
        <f t="shared" si="5"/>
        <v>6.1884320811634349E-4</v>
      </c>
    </row>
    <row r="51" spans="1:10">
      <c r="A51" s="64">
        <v>34</v>
      </c>
      <c r="B51" s="103">
        <f t="shared" si="1"/>
        <v>5.5625677888738734E-3</v>
      </c>
      <c r="C51" s="103">
        <v>0</v>
      </c>
      <c r="D51" s="103">
        <f t="shared" si="6"/>
        <v>0.9949936889900135</v>
      </c>
      <c r="F51" s="103">
        <f t="shared" si="2"/>
        <v>5.0063110099864971E-3</v>
      </c>
      <c r="G51" s="103">
        <f t="shared" si="3"/>
        <v>1.7549432009101205</v>
      </c>
      <c r="H51" s="103">
        <f t="shared" si="4"/>
        <v>0.99443743221112613</v>
      </c>
      <c r="I51" s="103"/>
      <c r="J51" s="103">
        <f t="shared" si="5"/>
        <v>5.0126299857424037E-4</v>
      </c>
    </row>
    <row r="52" spans="1:10">
      <c r="A52" s="64">
        <v>35</v>
      </c>
      <c r="B52" s="103">
        <f t="shared" si="1"/>
        <v>5.0063110099864971E-3</v>
      </c>
      <c r="C52" s="103">
        <v>0</v>
      </c>
      <c r="D52" s="103">
        <f t="shared" si="6"/>
        <v>0.99549432009101213</v>
      </c>
      <c r="F52" s="103">
        <f t="shared" si="2"/>
        <v>4.5056799089878696E-3</v>
      </c>
      <c r="G52" s="103">
        <f t="shared" si="3"/>
        <v>1.7594488808191082</v>
      </c>
      <c r="H52" s="103">
        <f t="shared" si="4"/>
        <v>0.9949936889900135</v>
      </c>
      <c r="I52" s="103"/>
      <c r="J52" s="103">
        <f t="shared" si="5"/>
        <v>4.0602302884513872E-4</v>
      </c>
    </row>
    <row r="53" spans="1:10">
      <c r="A53" s="64">
        <v>36</v>
      </c>
      <c r="B53" s="103">
        <f t="shared" si="1"/>
        <v>4.5056799089878696E-3</v>
      </c>
      <c r="C53" s="103">
        <v>0</v>
      </c>
      <c r="D53" s="103">
        <f t="shared" si="6"/>
        <v>0.99594488808191095</v>
      </c>
      <c r="F53" s="103">
        <f t="shared" si="2"/>
        <v>4.0551119180890494E-3</v>
      </c>
      <c r="G53" s="103">
        <f t="shared" si="3"/>
        <v>1.7635039927371974</v>
      </c>
      <c r="H53" s="103">
        <f t="shared" si="4"/>
        <v>0.99549432009101213</v>
      </c>
      <c r="I53" s="103"/>
      <c r="J53" s="103">
        <f t="shared" si="5"/>
        <v>3.2887865336455696E-4</v>
      </c>
    </row>
    <row r="54" spans="1:10">
      <c r="A54" s="64">
        <v>37</v>
      </c>
      <c r="B54" s="103">
        <f t="shared" si="1"/>
        <v>4.0551119180890494E-3</v>
      </c>
      <c r="C54" s="103">
        <v>0</v>
      </c>
      <c r="D54" s="103">
        <f t="shared" si="6"/>
        <v>0.99635039927371982</v>
      </c>
      <c r="F54" s="103">
        <f t="shared" si="2"/>
        <v>3.6496007262801777E-3</v>
      </c>
      <c r="G54" s="103">
        <f t="shared" si="3"/>
        <v>1.7671535934634774</v>
      </c>
      <c r="H54" s="103">
        <f t="shared" si="4"/>
        <v>0.99594488808191095</v>
      </c>
      <c r="I54" s="103"/>
      <c r="J54" s="103">
        <f t="shared" si="5"/>
        <v>2.66391709225296E-4</v>
      </c>
    </row>
    <row r="55" spans="1:10">
      <c r="A55" s="64">
        <v>38</v>
      </c>
      <c r="B55" s="103">
        <f t="shared" si="1"/>
        <v>3.6496007262801777E-3</v>
      </c>
      <c r="C55" s="103">
        <v>0</v>
      </c>
      <c r="D55" s="103">
        <f t="shared" si="6"/>
        <v>0.99671535934634781</v>
      </c>
      <c r="F55" s="103">
        <f t="shared" si="2"/>
        <v>3.2846406536521933E-3</v>
      </c>
      <c r="G55" s="103">
        <f t="shared" si="3"/>
        <v>1.7704382341171296</v>
      </c>
      <c r="H55" s="103">
        <f t="shared" si="4"/>
        <v>0.99635039927371982</v>
      </c>
      <c r="I55" s="103"/>
      <c r="J55" s="103">
        <f t="shared" si="5"/>
        <v>2.1577728447249415E-4</v>
      </c>
    </row>
    <row r="56" spans="1:10">
      <c r="A56" s="64">
        <v>39</v>
      </c>
      <c r="B56" s="103">
        <f t="shared" si="1"/>
        <v>3.2846406536521933E-3</v>
      </c>
      <c r="C56" s="103">
        <v>0</v>
      </c>
      <c r="D56" s="103">
        <f t="shared" si="6"/>
        <v>0.99704382341171305</v>
      </c>
      <c r="F56" s="103">
        <f t="shared" si="2"/>
        <v>2.9561765882869517E-3</v>
      </c>
      <c r="G56" s="103">
        <f t="shared" si="3"/>
        <v>1.7733944107054165</v>
      </c>
      <c r="H56" s="103">
        <f t="shared" si="4"/>
        <v>0.99671535934634781</v>
      </c>
      <c r="I56" s="103"/>
      <c r="J56" s="103">
        <f t="shared" si="5"/>
        <v>1.7477960042271764E-4</v>
      </c>
    </row>
    <row r="57" spans="1:10">
      <c r="A57" s="64">
        <v>40</v>
      </c>
      <c r="B57" s="103">
        <f t="shared" si="1"/>
        <v>2.9561765882869517E-3</v>
      </c>
      <c r="C57" s="103">
        <f t="shared" ref="C57:C101" si="7">$B$4</f>
        <v>0.4</v>
      </c>
      <c r="D57" s="103">
        <f t="shared" si="6"/>
        <v>0.9573394410705417</v>
      </c>
      <c r="F57" s="103">
        <f t="shared" si="2"/>
        <v>4.2660558929458303E-2</v>
      </c>
      <c r="G57" s="103">
        <f t="shared" si="3"/>
        <v>1.8160549696348749</v>
      </c>
      <c r="H57" s="103">
        <f t="shared" si="4"/>
        <v>0.99704382341171305</v>
      </c>
      <c r="I57" s="103"/>
      <c r="J57" s="103">
        <f t="shared" si="5"/>
        <v>3.639846576347569E-2</v>
      </c>
    </row>
    <row r="58" spans="1:10">
      <c r="A58" s="64">
        <v>41</v>
      </c>
      <c r="B58" s="103">
        <f t="shared" si="1"/>
        <v>4.2660558929458303E-2</v>
      </c>
      <c r="C58" s="103">
        <f t="shared" si="7"/>
        <v>0.4</v>
      </c>
      <c r="D58" s="103">
        <f t="shared" si="6"/>
        <v>0.92160549696348748</v>
      </c>
      <c r="F58" s="103">
        <f t="shared" si="2"/>
        <v>7.839450303651252E-2</v>
      </c>
      <c r="G58" s="103">
        <f t="shared" si="3"/>
        <v>1.8944494726713874</v>
      </c>
      <c r="H58" s="103">
        <f t="shared" si="4"/>
        <v>0.9573394410705417</v>
      </c>
      <c r="I58" s="103"/>
      <c r="J58" s="103">
        <f t="shared" si="5"/>
        <v>0.12291396212683542</v>
      </c>
    </row>
    <row r="59" spans="1:10">
      <c r="A59" s="64">
        <v>42</v>
      </c>
      <c r="B59" s="103">
        <f t="shared" si="1"/>
        <v>7.839450303651252E-2</v>
      </c>
      <c r="C59" s="103">
        <f t="shared" si="7"/>
        <v>0.4</v>
      </c>
      <c r="D59" s="103">
        <f t="shared" si="6"/>
        <v>0.88944494726713874</v>
      </c>
      <c r="F59" s="103">
        <f t="shared" si="2"/>
        <v>0.11055505273286126</v>
      </c>
      <c r="G59" s="103">
        <f t="shared" si="3"/>
        <v>2.0050045254042486</v>
      </c>
      <c r="H59" s="103">
        <f t="shared" si="4"/>
        <v>0.92160549696348748</v>
      </c>
      <c r="I59" s="103"/>
      <c r="J59" s="103">
        <f t="shared" si="5"/>
        <v>0.24444839369531468</v>
      </c>
    </row>
    <row r="60" spans="1:10">
      <c r="A60" s="64">
        <v>43</v>
      </c>
      <c r="B60" s="103">
        <f t="shared" si="1"/>
        <v>0.11055505273286126</v>
      </c>
      <c r="C60" s="103">
        <f t="shared" si="7"/>
        <v>0.4</v>
      </c>
      <c r="D60" s="103">
        <f t="shared" si="6"/>
        <v>0.86050045254042484</v>
      </c>
      <c r="F60" s="103">
        <f t="shared" si="2"/>
        <v>0.13949954745957516</v>
      </c>
      <c r="G60" s="103">
        <f t="shared" si="3"/>
        <v>2.1445040728638238</v>
      </c>
      <c r="H60" s="103">
        <f t="shared" si="4"/>
        <v>0.88944494726713874</v>
      </c>
      <c r="I60" s="103"/>
      <c r="J60" s="103">
        <f t="shared" si="5"/>
        <v>0.38920247482852521</v>
      </c>
    </row>
    <row r="61" spans="1:10">
      <c r="A61" s="64">
        <v>44</v>
      </c>
      <c r="B61" s="103">
        <f t="shared" si="1"/>
        <v>0.13949954745957516</v>
      </c>
      <c r="C61" s="103">
        <f t="shared" si="7"/>
        <v>0.4</v>
      </c>
      <c r="D61" s="103">
        <f t="shared" si="6"/>
        <v>0.83445040728638231</v>
      </c>
      <c r="F61" s="103">
        <f t="shared" si="2"/>
        <v>0.16554959271361769</v>
      </c>
      <c r="G61" s="103">
        <f t="shared" si="3"/>
        <v>2.3100536655774415</v>
      </c>
      <c r="H61" s="103">
        <f t="shared" si="4"/>
        <v>0.86050045254042484</v>
      </c>
      <c r="I61" s="103"/>
      <c r="J61" s="103">
        <f t="shared" si="5"/>
        <v>0.548133352952894</v>
      </c>
    </row>
    <row r="62" spans="1:10">
      <c r="A62" s="64">
        <v>45</v>
      </c>
      <c r="B62" s="103">
        <f t="shared" si="1"/>
        <v>0.16554959271361769</v>
      </c>
      <c r="C62" s="103">
        <f t="shared" si="7"/>
        <v>0.4</v>
      </c>
      <c r="D62" s="103">
        <f t="shared" si="6"/>
        <v>0.81100536655774402</v>
      </c>
      <c r="F62" s="103">
        <f t="shared" si="2"/>
        <v>0.18899463344225598</v>
      </c>
      <c r="G62" s="103">
        <f t="shared" si="3"/>
        <v>2.4990482990196976</v>
      </c>
      <c r="H62" s="103">
        <f t="shared" si="4"/>
        <v>0.83445040728638231</v>
      </c>
      <c r="I62" s="103"/>
      <c r="J62" s="103">
        <f t="shared" si="5"/>
        <v>0.71437942939945398</v>
      </c>
    </row>
    <row r="63" spans="1:10">
      <c r="A63" s="64">
        <v>46</v>
      </c>
      <c r="B63" s="103">
        <f t="shared" si="1"/>
        <v>0.18899463344225598</v>
      </c>
      <c r="C63" s="103">
        <f t="shared" si="7"/>
        <v>0.4</v>
      </c>
      <c r="D63" s="103">
        <f t="shared" si="6"/>
        <v>0.78990482990196953</v>
      </c>
      <c r="F63" s="103">
        <f t="shared" si="2"/>
        <v>0.21009517009803047</v>
      </c>
      <c r="G63" s="103">
        <f t="shared" si="3"/>
        <v>2.7091434691177279</v>
      </c>
      <c r="H63" s="103">
        <f t="shared" si="4"/>
        <v>0.81100536655774402</v>
      </c>
      <c r="I63" s="103"/>
      <c r="J63" s="103">
        <f t="shared" si="5"/>
        <v>0.88279960997040718</v>
      </c>
    </row>
    <row r="64" spans="1:10">
      <c r="A64" s="64">
        <v>47</v>
      </c>
      <c r="B64" s="103">
        <f t="shared" si="1"/>
        <v>0.21009517009803047</v>
      </c>
      <c r="C64" s="103">
        <f t="shared" si="7"/>
        <v>0.4</v>
      </c>
      <c r="D64" s="103">
        <f t="shared" si="6"/>
        <v>0.77091434691177252</v>
      </c>
      <c r="F64" s="103">
        <f t="shared" si="2"/>
        <v>0.22908565308822748</v>
      </c>
      <c r="G64" s="103">
        <f t="shared" si="3"/>
        <v>2.9382291222059553</v>
      </c>
      <c r="H64" s="103">
        <f t="shared" si="4"/>
        <v>0.78990482990196953</v>
      </c>
      <c r="I64" s="103"/>
      <c r="J64" s="103">
        <f t="shared" si="5"/>
        <v>1.0496047290171941</v>
      </c>
    </row>
    <row r="65" spans="1:10">
      <c r="A65" s="64">
        <v>48</v>
      </c>
      <c r="B65" s="103">
        <f t="shared" si="1"/>
        <v>0.22908565308822748</v>
      </c>
      <c r="C65" s="103">
        <f t="shared" si="7"/>
        <v>0.4</v>
      </c>
      <c r="D65" s="103">
        <f t="shared" si="6"/>
        <v>0.75382291222059528</v>
      </c>
      <c r="F65" s="103">
        <f t="shared" si="2"/>
        <v>0.24617708777940472</v>
      </c>
      <c r="G65" s="103">
        <f t="shared" si="3"/>
        <v>3.1844062099853598</v>
      </c>
      <c r="H65" s="103">
        <f t="shared" si="4"/>
        <v>0.77091434691177252</v>
      </c>
      <c r="I65" s="103"/>
      <c r="J65" s="103">
        <f t="shared" si="5"/>
        <v>1.2120631709509748</v>
      </c>
    </row>
    <row r="66" spans="1:10">
      <c r="A66" s="64">
        <v>49</v>
      </c>
      <c r="B66" s="103">
        <f t="shared" si="1"/>
        <v>0.24617708777940472</v>
      </c>
      <c r="C66" s="103">
        <f t="shared" si="7"/>
        <v>0.4</v>
      </c>
      <c r="D66" s="103">
        <f t="shared" si="6"/>
        <v>0.73844062099853569</v>
      </c>
      <c r="F66" s="103">
        <f t="shared" si="2"/>
        <v>0.26155937900146431</v>
      </c>
      <c r="G66" s="103">
        <f t="shared" si="3"/>
        <v>3.4459655889868239</v>
      </c>
      <c r="H66" s="103">
        <f t="shared" si="4"/>
        <v>0.75382291222059528</v>
      </c>
      <c r="I66" s="103"/>
      <c r="J66" s="103">
        <f t="shared" si="5"/>
        <v>1.368266174872633</v>
      </c>
    </row>
    <row r="67" spans="1:10">
      <c r="A67" s="64">
        <v>50</v>
      </c>
      <c r="B67" s="103">
        <f t="shared" si="1"/>
        <v>0.26155937900146431</v>
      </c>
      <c r="C67" s="103">
        <f t="shared" si="7"/>
        <v>0.4</v>
      </c>
      <c r="D67" s="103">
        <f t="shared" si="6"/>
        <v>0.72459655889868213</v>
      </c>
      <c r="F67" s="103">
        <f t="shared" si="2"/>
        <v>0.27540344110131787</v>
      </c>
      <c r="G67" s="103">
        <f t="shared" si="3"/>
        <v>3.7213690300881419</v>
      </c>
      <c r="H67" s="103">
        <f t="shared" si="4"/>
        <v>0.73844062099853569</v>
      </c>
      <c r="I67" s="103"/>
      <c r="J67" s="103">
        <f t="shared" si="5"/>
        <v>1.5169411074089414</v>
      </c>
    </row>
    <row r="68" spans="1:10">
      <c r="A68" s="64">
        <v>51</v>
      </c>
      <c r="B68" s="103">
        <f t="shared" si="1"/>
        <v>0.27540344110131787</v>
      </c>
      <c r="C68" s="103">
        <f t="shared" si="7"/>
        <v>0.4</v>
      </c>
      <c r="D68" s="103">
        <f t="shared" si="6"/>
        <v>0.71213690300881383</v>
      </c>
      <c r="F68" s="103">
        <f t="shared" si="2"/>
        <v>0.28786309699118617</v>
      </c>
      <c r="G68" s="103">
        <f t="shared" si="3"/>
        <v>4.0092321270793283</v>
      </c>
      <c r="H68" s="103">
        <f t="shared" si="4"/>
        <v>0.72459655889868213</v>
      </c>
      <c r="I68" s="103"/>
      <c r="J68" s="103">
        <f t="shared" si="5"/>
        <v>1.6573032521871411</v>
      </c>
    </row>
    <row r="69" spans="1:10">
      <c r="A69" s="64">
        <v>52</v>
      </c>
      <c r="B69" s="103">
        <f t="shared" si="1"/>
        <v>0.28786309699118617</v>
      </c>
      <c r="C69" s="103">
        <f t="shared" si="7"/>
        <v>0.4</v>
      </c>
      <c r="D69" s="103">
        <f t="shared" si="6"/>
        <v>0.70092321270793245</v>
      </c>
      <c r="F69" s="103">
        <f t="shared" si="2"/>
        <v>0.29907678729206755</v>
      </c>
      <c r="G69" s="103">
        <f t="shared" si="3"/>
        <v>4.3083089143713957</v>
      </c>
      <c r="H69" s="103">
        <f t="shared" si="4"/>
        <v>0.71213690300881383</v>
      </c>
      <c r="I69" s="103"/>
      <c r="J69" s="103">
        <f t="shared" si="5"/>
        <v>1.7889384939388921</v>
      </c>
    </row>
    <row r="70" spans="1:10">
      <c r="A70" s="64">
        <v>53</v>
      </c>
      <c r="B70" s="103">
        <f t="shared" si="1"/>
        <v>0.29907678729206755</v>
      </c>
      <c r="C70" s="103">
        <f t="shared" si="7"/>
        <v>0.4</v>
      </c>
      <c r="D70" s="103">
        <f t="shared" si="6"/>
        <v>0.69083089143713916</v>
      </c>
      <c r="F70" s="103">
        <f t="shared" si="2"/>
        <v>0.30916910856286084</v>
      </c>
      <c r="G70" s="103">
        <f t="shared" si="3"/>
        <v>4.6174780229342565</v>
      </c>
      <c r="H70" s="103">
        <f t="shared" si="4"/>
        <v>0.70092321270793245</v>
      </c>
      <c r="I70" s="103"/>
      <c r="J70" s="103">
        <f t="shared" si="5"/>
        <v>1.9117107537910805</v>
      </c>
    </row>
    <row r="71" spans="1:10">
      <c r="A71" s="64">
        <v>54</v>
      </c>
      <c r="B71" s="103">
        <f t="shared" si="1"/>
        <v>0.30916910856286084</v>
      </c>
      <c r="C71" s="103">
        <f t="shared" si="7"/>
        <v>0.4</v>
      </c>
      <c r="D71" s="103">
        <f t="shared" si="6"/>
        <v>0.68174780229342524</v>
      </c>
      <c r="F71" s="103">
        <f t="shared" si="2"/>
        <v>0.31825219770657476</v>
      </c>
      <c r="G71" s="103">
        <f t="shared" si="3"/>
        <v>4.9357302206408313</v>
      </c>
      <c r="H71" s="103">
        <f t="shared" si="4"/>
        <v>0.69083089143713916</v>
      </c>
      <c r="I71" s="103"/>
      <c r="J71" s="103">
        <f t="shared" si="5"/>
        <v>2.0256892269012949</v>
      </c>
    </row>
    <row r="72" spans="1:10">
      <c r="A72" s="64">
        <v>55</v>
      </c>
      <c r="B72" s="103">
        <f t="shared" si="1"/>
        <v>0.31825219770657476</v>
      </c>
      <c r="C72" s="103">
        <f t="shared" si="7"/>
        <v>0.4</v>
      </c>
      <c r="D72" s="103">
        <f t="shared" si="6"/>
        <v>0.67357302206408265</v>
      </c>
      <c r="F72" s="103">
        <f t="shared" si="2"/>
        <v>0.32642697793591735</v>
      </c>
      <c r="G72" s="103">
        <f t="shared" si="3"/>
        <v>5.262157198576749</v>
      </c>
      <c r="H72" s="103">
        <f t="shared" si="4"/>
        <v>0.68174780229342524</v>
      </c>
      <c r="I72" s="103"/>
      <c r="J72" s="103">
        <f t="shared" si="5"/>
        <v>2.1310914384875175</v>
      </c>
    </row>
    <row r="73" spans="1:10">
      <c r="A73" s="64">
        <v>56</v>
      </c>
      <c r="B73" s="103">
        <f t="shared" si="1"/>
        <v>0.32642697793591735</v>
      </c>
      <c r="C73" s="103">
        <f t="shared" si="7"/>
        <v>0.4</v>
      </c>
      <c r="D73" s="103">
        <f t="shared" si="6"/>
        <v>0.66621571985767436</v>
      </c>
      <c r="F73" s="103">
        <f t="shared" si="2"/>
        <v>0.33378428014232564</v>
      </c>
      <c r="G73" s="103">
        <f t="shared" si="3"/>
        <v>5.5959414787190749</v>
      </c>
      <c r="H73" s="103">
        <f t="shared" si="4"/>
        <v>0.67357302206408265</v>
      </c>
      <c r="I73" s="103"/>
      <c r="J73" s="103">
        <f t="shared" si="5"/>
        <v>2.2282389134026106</v>
      </c>
    </row>
    <row r="74" spans="1:10">
      <c r="A74" s="64">
        <v>57</v>
      </c>
      <c r="B74" s="103">
        <f t="shared" si="1"/>
        <v>0.33378428014232564</v>
      </c>
      <c r="C74" s="103">
        <f t="shared" si="7"/>
        <v>0.4</v>
      </c>
      <c r="D74" s="103">
        <f t="shared" si="6"/>
        <v>0.65959414787190684</v>
      </c>
      <c r="F74" s="103">
        <f t="shared" si="2"/>
        <v>0.34040585212809316</v>
      </c>
      <c r="G74" s="103">
        <f t="shared" si="3"/>
        <v>5.9363473308471679</v>
      </c>
      <c r="H74" s="103">
        <f t="shared" si="4"/>
        <v>0.66621571985767436</v>
      </c>
      <c r="I74" s="103"/>
      <c r="J74" s="103">
        <f t="shared" si="5"/>
        <v>2.3175228832610641</v>
      </c>
    </row>
    <row r="75" spans="1:10">
      <c r="A75" s="64">
        <v>58</v>
      </c>
      <c r="B75" s="103">
        <f t="shared" si="1"/>
        <v>0.34040585212809316</v>
      </c>
      <c r="C75" s="103">
        <f t="shared" si="7"/>
        <v>0.4</v>
      </c>
      <c r="D75" s="103">
        <f t="shared" si="6"/>
        <v>0.65363473308471609</v>
      </c>
      <c r="F75" s="103">
        <f t="shared" si="2"/>
        <v>0.34636526691528391</v>
      </c>
      <c r="G75" s="103">
        <f t="shared" si="3"/>
        <v>6.2827125977624521</v>
      </c>
      <c r="H75" s="103">
        <f t="shared" si="4"/>
        <v>0.65959414787190684</v>
      </c>
      <c r="I75" s="103"/>
      <c r="J75" s="103">
        <f t="shared" si="5"/>
        <v>2.3993779625059175</v>
      </c>
    </row>
    <row r="76" spans="1:10">
      <c r="A76" s="64">
        <v>59</v>
      </c>
      <c r="B76" s="103">
        <f t="shared" si="1"/>
        <v>0.34636526691528391</v>
      </c>
      <c r="C76" s="103">
        <f t="shared" si="7"/>
        <v>0.4</v>
      </c>
      <c r="D76" s="103">
        <f t="shared" si="6"/>
        <v>0.64827125977624445</v>
      </c>
      <c r="F76" s="103">
        <f t="shared" si="2"/>
        <v>0.35172874022375555</v>
      </c>
      <c r="G76" s="103">
        <f t="shared" si="3"/>
        <v>6.6344413379862077</v>
      </c>
      <c r="H76" s="103">
        <f t="shared" si="4"/>
        <v>0.65363473308471609</v>
      </c>
      <c r="I76" s="103"/>
      <c r="J76" s="103">
        <f t="shared" si="5"/>
        <v>2.4742621339878026</v>
      </c>
    </row>
    <row r="77" spans="1:10">
      <c r="A77" s="64">
        <v>60</v>
      </c>
      <c r="B77" s="103">
        <f t="shared" si="1"/>
        <v>0.35172874022375555</v>
      </c>
      <c r="C77" s="103">
        <f t="shared" si="7"/>
        <v>0.4</v>
      </c>
      <c r="D77" s="103">
        <f t="shared" si="6"/>
        <v>0.64344413379861998</v>
      </c>
      <c r="F77" s="103">
        <f t="shared" si="2"/>
        <v>0.35655586620138002</v>
      </c>
      <c r="G77" s="103">
        <f t="shared" si="3"/>
        <v>6.9909972041875879</v>
      </c>
      <c r="H77" s="103">
        <f t="shared" si="4"/>
        <v>0.64827125977624445</v>
      </c>
      <c r="I77" s="103"/>
      <c r="J77" s="103">
        <f t="shared" si="5"/>
        <v>2.5426417144523286</v>
      </c>
    </row>
    <row r="78" spans="1:10">
      <c r="A78" s="64">
        <v>61</v>
      </c>
      <c r="B78" s="103">
        <f t="shared" si="1"/>
        <v>0.35655586620138002</v>
      </c>
      <c r="C78" s="103">
        <f t="shared" si="7"/>
        <v>0.4</v>
      </c>
      <c r="D78" s="103">
        <f t="shared" si="6"/>
        <v>0.63909972041875796</v>
      </c>
      <c r="F78" s="103">
        <f t="shared" si="2"/>
        <v>0.36090027958124204</v>
      </c>
      <c r="G78" s="103">
        <f t="shared" si="3"/>
        <v>7.3518974837688296</v>
      </c>
      <c r="H78" s="103">
        <f t="shared" si="4"/>
        <v>0.64344413379861998</v>
      </c>
      <c r="I78" s="103"/>
      <c r="J78" s="103">
        <f t="shared" si="5"/>
        <v>2.6049802360363739</v>
      </c>
    </row>
    <row r="79" spans="1:10">
      <c r="A79" s="64">
        <v>62</v>
      </c>
      <c r="B79" s="103">
        <f t="shared" si="1"/>
        <v>0.36090027958124204</v>
      </c>
      <c r="C79" s="103">
        <f t="shared" si="7"/>
        <v>0.4</v>
      </c>
      <c r="D79" s="103">
        <f t="shared" si="6"/>
        <v>0.63518974837688214</v>
      </c>
      <c r="F79" s="103">
        <f t="shared" si="2"/>
        <v>0.36481025162311786</v>
      </c>
      <c r="G79" s="103">
        <f t="shared" si="3"/>
        <v>7.7167077353919478</v>
      </c>
      <c r="H79" s="103">
        <f t="shared" si="4"/>
        <v>0.63909972041875796</v>
      </c>
      <c r="I79" s="103"/>
      <c r="J79" s="103">
        <f t="shared" si="5"/>
        <v>2.6617303937864514</v>
      </c>
    </row>
    <row r="80" spans="1:10">
      <c r="A80" s="64">
        <v>63</v>
      </c>
      <c r="B80" s="103">
        <f t="shared" si="1"/>
        <v>0.36481025162311786</v>
      </c>
      <c r="C80" s="103">
        <f t="shared" si="7"/>
        <v>0.4</v>
      </c>
      <c r="D80" s="103">
        <f t="shared" si="6"/>
        <v>0.63167077353919387</v>
      </c>
      <c r="F80" s="103">
        <f t="shared" si="2"/>
        <v>0.36832922646080613</v>
      </c>
      <c r="G80" s="103">
        <f t="shared" si="3"/>
        <v>8.0850369618527544</v>
      </c>
      <c r="H80" s="103">
        <f t="shared" si="4"/>
        <v>0.63518974837688214</v>
      </c>
      <c r="I80" s="103"/>
      <c r="J80" s="103">
        <f t="shared" si="5"/>
        <v>2.7133283813043163</v>
      </c>
    </row>
    <row r="81" spans="1:10">
      <c r="A81" s="64">
        <v>64</v>
      </c>
      <c r="B81" s="103">
        <f t="shared" si="1"/>
        <v>0.36832922646080613</v>
      </c>
      <c r="C81" s="103">
        <f t="shared" si="7"/>
        <v>0.4</v>
      </c>
      <c r="D81" s="103">
        <f t="shared" ref="D81:D101" si="8">D80+$B$5*$B$2*B81-$B$5*$B$2*C81</f>
        <v>0.62850369618527446</v>
      </c>
      <c r="F81" s="103">
        <f t="shared" si="2"/>
        <v>0.37149630381472554</v>
      </c>
      <c r="G81" s="103">
        <f t="shared" si="3"/>
        <v>8.4565332656674794</v>
      </c>
      <c r="H81" s="103">
        <f t="shared" si="4"/>
        <v>0.63167077353919387</v>
      </c>
      <c r="I81" s="103"/>
      <c r="J81" s="103">
        <f t="shared" si="5"/>
        <v>2.760190074960057</v>
      </c>
    </row>
    <row r="82" spans="1:10">
      <c r="A82" s="64">
        <v>65</v>
      </c>
      <c r="B82" s="103">
        <f t="shared" ref="B82:B101" si="9">$B$3-H82</f>
        <v>0.37149630381472554</v>
      </c>
      <c r="C82" s="103">
        <f t="shared" si="7"/>
        <v>0.4</v>
      </c>
      <c r="D82" s="103">
        <f t="shared" si="8"/>
        <v>0.62565332656674699</v>
      </c>
      <c r="F82" s="103">
        <f t="shared" ref="F82:F101" si="10">$B$6-D82</f>
        <v>0.37434667343325301</v>
      </c>
      <c r="G82" s="103">
        <f t="shared" ref="G82:G101" si="11">F82+G81</f>
        <v>8.8308799391007327</v>
      </c>
      <c r="H82" s="103">
        <f t="shared" ref="H82:H101" si="12">$B$8*D81</f>
        <v>0.62850369618527446</v>
      </c>
      <c r="I82" s="103"/>
      <c r="J82" s="103">
        <f t="shared" ref="J82:J101" si="13">20*F82*F82</f>
        <v>2.8027086382108513</v>
      </c>
    </row>
    <row r="83" spans="1:10">
      <c r="A83" s="64">
        <v>66</v>
      </c>
      <c r="B83" s="103">
        <f t="shared" si="9"/>
        <v>0.37434667343325301</v>
      </c>
      <c r="C83" s="103">
        <f t="shared" si="7"/>
        <v>0.4</v>
      </c>
      <c r="D83" s="103">
        <f t="shared" si="8"/>
        <v>0.6230879939100723</v>
      </c>
      <c r="F83" s="103">
        <f t="shared" si="10"/>
        <v>0.3769120060899277</v>
      </c>
      <c r="G83" s="103">
        <f t="shared" si="11"/>
        <v>9.2077919451906602</v>
      </c>
      <c r="H83" s="103">
        <f t="shared" si="12"/>
        <v>0.62565332656674699</v>
      </c>
      <c r="I83" s="103"/>
      <c r="J83" s="103">
        <f t="shared" si="13"/>
        <v>2.8412532066946738</v>
      </c>
    </row>
    <row r="84" spans="1:10">
      <c r="A84" s="64">
        <v>67</v>
      </c>
      <c r="B84" s="103">
        <f t="shared" si="9"/>
        <v>0.3769120060899277</v>
      </c>
      <c r="C84" s="103">
        <f t="shared" si="7"/>
        <v>0.4</v>
      </c>
      <c r="D84" s="103">
        <f t="shared" si="8"/>
        <v>0.62077919451906505</v>
      </c>
      <c r="F84" s="103">
        <f t="shared" si="10"/>
        <v>0.37922080548093495</v>
      </c>
      <c r="G84" s="103">
        <f t="shared" si="11"/>
        <v>9.5870127506715956</v>
      </c>
      <c r="H84" s="103">
        <f t="shared" si="12"/>
        <v>0.6230879939100723</v>
      </c>
      <c r="I84" s="103"/>
      <c r="J84" s="103">
        <f t="shared" si="13"/>
        <v>2.8761683861921821</v>
      </c>
    </row>
    <row r="85" spans="1:10">
      <c r="A85" s="64">
        <v>68</v>
      </c>
      <c r="B85" s="103">
        <f t="shared" si="9"/>
        <v>0.37922080548093495</v>
      </c>
      <c r="C85" s="103">
        <f t="shared" si="7"/>
        <v>0.4</v>
      </c>
      <c r="D85" s="103">
        <f t="shared" si="8"/>
        <v>0.61870127506715855</v>
      </c>
      <c r="F85" s="103">
        <f t="shared" si="10"/>
        <v>0.38129872493284145</v>
      </c>
      <c r="G85" s="103">
        <f t="shared" si="11"/>
        <v>9.9683114756044375</v>
      </c>
      <c r="H85" s="103">
        <f t="shared" si="12"/>
        <v>0.62077919451906505</v>
      </c>
      <c r="I85" s="103"/>
      <c r="J85" s="103">
        <f t="shared" si="13"/>
        <v>2.9077743527082136</v>
      </c>
    </row>
    <row r="86" spans="1:10">
      <c r="A86" s="64">
        <v>69</v>
      </c>
      <c r="B86" s="103">
        <f t="shared" si="9"/>
        <v>0.38129872493284145</v>
      </c>
      <c r="C86" s="103">
        <f t="shared" si="7"/>
        <v>0.4</v>
      </c>
      <c r="D86" s="103">
        <f t="shared" si="8"/>
        <v>0.61683114756044266</v>
      </c>
      <c r="F86" s="103">
        <f t="shared" si="10"/>
        <v>0.38316885243955734</v>
      </c>
      <c r="G86" s="103">
        <f t="shared" si="11"/>
        <v>10.351480328043994</v>
      </c>
      <c r="H86" s="103">
        <f t="shared" si="12"/>
        <v>0.61870127506715855</v>
      </c>
      <c r="I86" s="103"/>
      <c r="J86" s="103">
        <f t="shared" si="13"/>
        <v>2.9363673895969455</v>
      </c>
    </row>
    <row r="87" spans="1:10">
      <c r="A87" s="64">
        <v>70</v>
      </c>
      <c r="B87" s="103">
        <f t="shared" si="9"/>
        <v>0.38316885243955734</v>
      </c>
      <c r="C87" s="103">
        <f t="shared" si="7"/>
        <v>0.4</v>
      </c>
      <c r="D87" s="103">
        <f t="shared" si="8"/>
        <v>0.61514803280439834</v>
      </c>
      <c r="F87" s="103">
        <f t="shared" si="10"/>
        <v>0.38485196719560166</v>
      </c>
      <c r="G87" s="103">
        <f t="shared" si="11"/>
        <v>10.736332295239595</v>
      </c>
      <c r="H87" s="103">
        <f t="shared" si="12"/>
        <v>0.61683114756044266</v>
      </c>
      <c r="I87" s="103"/>
      <c r="J87" s="103">
        <f t="shared" si="13"/>
        <v>2.9622207330864891</v>
      </c>
    </row>
    <row r="88" spans="1:10">
      <c r="A88" s="64">
        <v>71</v>
      </c>
      <c r="B88" s="103">
        <f t="shared" si="9"/>
        <v>0.38485196719560166</v>
      </c>
      <c r="C88" s="103">
        <f t="shared" si="7"/>
        <v>0.4</v>
      </c>
      <c r="D88" s="103">
        <f t="shared" si="8"/>
        <v>0.61363322952395849</v>
      </c>
      <c r="F88" s="103">
        <f t="shared" si="10"/>
        <v>0.38636677047604151</v>
      </c>
      <c r="G88" s="103">
        <f t="shared" si="11"/>
        <v>11.122699065715636</v>
      </c>
      <c r="H88" s="103">
        <f t="shared" si="12"/>
        <v>0.61514803280439834</v>
      </c>
      <c r="I88" s="103"/>
      <c r="J88" s="103">
        <f t="shared" si="13"/>
        <v>2.9855856265617224</v>
      </c>
    </row>
    <row r="89" spans="1:10">
      <c r="A89" s="64">
        <v>72</v>
      </c>
      <c r="B89" s="103">
        <f t="shared" si="9"/>
        <v>0.38636677047604151</v>
      </c>
      <c r="C89" s="103">
        <f t="shared" si="7"/>
        <v>0.4</v>
      </c>
      <c r="D89" s="103">
        <f t="shared" si="8"/>
        <v>0.61226990657156266</v>
      </c>
      <c r="F89" s="103">
        <f t="shared" si="10"/>
        <v>0.38773009342843734</v>
      </c>
      <c r="G89" s="103">
        <f t="shared" si="11"/>
        <v>11.510429159144074</v>
      </c>
      <c r="H89" s="103">
        <f t="shared" si="12"/>
        <v>0.61363322952395849</v>
      </c>
      <c r="I89" s="103"/>
      <c r="J89" s="103">
        <f t="shared" si="13"/>
        <v>3.0066925070004951</v>
      </c>
    </row>
    <row r="90" spans="1:10">
      <c r="A90" s="64">
        <v>73</v>
      </c>
      <c r="B90" s="103">
        <f t="shared" si="9"/>
        <v>0.38773009342843734</v>
      </c>
      <c r="C90" s="103">
        <f t="shared" si="7"/>
        <v>0.4</v>
      </c>
      <c r="D90" s="103">
        <f t="shared" si="8"/>
        <v>0.6110429159144064</v>
      </c>
      <c r="F90" s="103">
        <f t="shared" si="10"/>
        <v>0.3889570840855936</v>
      </c>
      <c r="G90" s="103">
        <f t="shared" si="11"/>
        <v>11.899386243229667</v>
      </c>
      <c r="H90" s="103">
        <f t="shared" si="12"/>
        <v>0.61226990657156266</v>
      </c>
      <c r="I90" s="103"/>
      <c r="J90" s="103">
        <f t="shared" si="13"/>
        <v>3.0257522652073505</v>
      </c>
    </row>
    <row r="91" spans="1:10">
      <c r="A91" s="64">
        <v>74</v>
      </c>
      <c r="B91" s="103">
        <f t="shared" si="9"/>
        <v>0.3889570840855936</v>
      </c>
      <c r="C91" s="103">
        <f t="shared" si="7"/>
        <v>0.4</v>
      </c>
      <c r="D91" s="103">
        <f t="shared" si="8"/>
        <v>0.60993862432296575</v>
      </c>
      <c r="F91" s="103">
        <f t="shared" si="10"/>
        <v>0.39006137567703425</v>
      </c>
      <c r="G91" s="103">
        <f t="shared" si="11"/>
        <v>12.289447618906701</v>
      </c>
      <c r="H91" s="103">
        <f t="shared" si="12"/>
        <v>0.6110429159144064</v>
      </c>
      <c r="I91" s="103"/>
      <c r="J91" s="103">
        <f t="shared" si="13"/>
        <v>3.0429575359012087</v>
      </c>
    </row>
    <row r="92" spans="1:10">
      <c r="A92" s="64">
        <v>75</v>
      </c>
      <c r="B92" s="103">
        <f t="shared" si="9"/>
        <v>0.39006137567703425</v>
      </c>
      <c r="C92" s="103">
        <f t="shared" si="7"/>
        <v>0.4</v>
      </c>
      <c r="D92" s="103">
        <f t="shared" si="8"/>
        <v>0.60894476189066915</v>
      </c>
      <c r="F92" s="103">
        <f t="shared" si="10"/>
        <v>0.39105523810933085</v>
      </c>
      <c r="G92" s="103">
        <f t="shared" si="11"/>
        <v>12.680502857016032</v>
      </c>
      <c r="H92" s="103">
        <f t="shared" si="12"/>
        <v>0.60993862432296575</v>
      </c>
      <c r="I92" s="103"/>
      <c r="J92" s="103">
        <f t="shared" si="13"/>
        <v>3.058483985054909</v>
      </c>
    </row>
    <row r="93" spans="1:10">
      <c r="A93" s="64">
        <v>76</v>
      </c>
      <c r="B93" s="103">
        <f t="shared" si="9"/>
        <v>0.39105523810933085</v>
      </c>
      <c r="C93" s="103">
        <f t="shared" si="7"/>
        <v>0.4</v>
      </c>
      <c r="D93" s="103">
        <f t="shared" si="8"/>
        <v>0.60805028570160224</v>
      </c>
      <c r="F93" s="103">
        <f t="shared" si="10"/>
        <v>0.39194971429839776</v>
      </c>
      <c r="G93" s="103">
        <f t="shared" si="11"/>
        <v>13.072452571314431</v>
      </c>
      <c r="H93" s="103">
        <f t="shared" si="12"/>
        <v>0.60894476189066915</v>
      </c>
      <c r="I93" s="103"/>
      <c r="J93" s="103">
        <f t="shared" si="13"/>
        <v>3.0724915707719123</v>
      </c>
    </row>
    <row r="94" spans="1:10">
      <c r="A94" s="64">
        <v>77</v>
      </c>
      <c r="B94" s="103">
        <f t="shared" si="9"/>
        <v>0.39194971429839776</v>
      </c>
      <c r="C94" s="103">
        <f t="shared" si="7"/>
        <v>0.4</v>
      </c>
      <c r="D94" s="103">
        <f t="shared" si="8"/>
        <v>0.60724525713144195</v>
      </c>
      <c r="F94" s="103">
        <f t="shared" si="10"/>
        <v>0.39275474286855805</v>
      </c>
      <c r="G94" s="103">
        <f t="shared" si="11"/>
        <v>13.465207314182988</v>
      </c>
      <c r="H94" s="103">
        <f t="shared" si="12"/>
        <v>0.60805028570160224</v>
      </c>
      <c r="I94" s="103"/>
      <c r="J94" s="103">
        <f t="shared" si="13"/>
        <v>3.0851257609149432</v>
      </c>
    </row>
    <row r="95" spans="1:10">
      <c r="A95" s="64">
        <v>78</v>
      </c>
      <c r="B95" s="103">
        <f t="shared" si="9"/>
        <v>0.39275474286855805</v>
      </c>
      <c r="C95" s="103">
        <f t="shared" si="7"/>
        <v>0.4</v>
      </c>
      <c r="D95" s="103">
        <f t="shared" si="8"/>
        <v>0.60652073141829776</v>
      </c>
      <c r="F95" s="103">
        <f t="shared" si="10"/>
        <v>0.39347926858170224</v>
      </c>
      <c r="G95" s="103">
        <f t="shared" si="11"/>
        <v>13.85868658276469</v>
      </c>
      <c r="H95" s="103">
        <f t="shared" si="12"/>
        <v>0.60724525713144195</v>
      </c>
      <c r="I95" s="103"/>
      <c r="J95" s="103">
        <f t="shared" si="13"/>
        <v>3.0965186960718274</v>
      </c>
    </row>
    <row r="96" spans="1:10">
      <c r="A96" s="64">
        <v>79</v>
      </c>
      <c r="B96" s="103">
        <f t="shared" si="9"/>
        <v>0.39347926858170224</v>
      </c>
      <c r="C96" s="103">
        <f t="shared" si="7"/>
        <v>0.4</v>
      </c>
      <c r="D96" s="103">
        <f t="shared" si="8"/>
        <v>0.60586865827646796</v>
      </c>
      <c r="F96" s="103">
        <f t="shared" si="10"/>
        <v>0.39413134172353204</v>
      </c>
      <c r="G96" s="103">
        <f t="shared" si="11"/>
        <v>14.252817924488223</v>
      </c>
      <c r="H96" s="103">
        <f t="shared" si="12"/>
        <v>0.60652073141829776</v>
      </c>
      <c r="I96" s="103"/>
      <c r="J96" s="103">
        <f t="shared" si="13"/>
        <v>3.1067902905758316</v>
      </c>
    </row>
    <row r="97" spans="1:10">
      <c r="A97" s="64">
        <v>80</v>
      </c>
      <c r="B97" s="103">
        <f t="shared" si="9"/>
        <v>0.39413134172353204</v>
      </c>
      <c r="C97" s="103">
        <f t="shared" si="7"/>
        <v>0.4</v>
      </c>
      <c r="D97" s="103">
        <f t="shared" si="8"/>
        <v>0.60528179244882119</v>
      </c>
      <c r="F97" s="103">
        <f t="shared" si="10"/>
        <v>0.39471820755117881</v>
      </c>
      <c r="G97" s="103">
        <f t="shared" si="11"/>
        <v>14.647536132039402</v>
      </c>
      <c r="H97" s="103">
        <f t="shared" si="12"/>
        <v>0.60586865827646796</v>
      </c>
      <c r="I97" s="103"/>
      <c r="J97" s="103">
        <f t="shared" si="13"/>
        <v>3.1160492674483096</v>
      </c>
    </row>
    <row r="98" spans="1:10">
      <c r="A98" s="64">
        <v>81</v>
      </c>
      <c r="B98" s="103">
        <f t="shared" si="9"/>
        <v>0.39471820755117881</v>
      </c>
      <c r="C98" s="103">
        <f t="shared" si="7"/>
        <v>0.4</v>
      </c>
      <c r="D98" s="103">
        <f t="shared" si="8"/>
        <v>0.60475361320393906</v>
      </c>
      <c r="F98" s="103">
        <f t="shared" si="10"/>
        <v>0.39524638679606094</v>
      </c>
      <c r="G98" s="103">
        <f t="shared" si="11"/>
        <v>15.042782518835462</v>
      </c>
      <c r="H98" s="103">
        <f t="shared" si="12"/>
        <v>0.60528179244882119</v>
      </c>
      <c r="I98" s="103"/>
      <c r="J98" s="103">
        <f t="shared" si="13"/>
        <v>3.1243941255068286</v>
      </c>
    </row>
    <row r="99" spans="1:10">
      <c r="A99" s="64">
        <v>82</v>
      </c>
      <c r="B99" s="103">
        <f t="shared" si="9"/>
        <v>0.39524638679606094</v>
      </c>
      <c r="C99" s="103">
        <f t="shared" si="7"/>
        <v>0.4</v>
      </c>
      <c r="D99" s="103">
        <f t="shared" si="8"/>
        <v>0.60427825188354511</v>
      </c>
      <c r="F99" s="103">
        <f t="shared" si="10"/>
        <v>0.39572174811645489</v>
      </c>
      <c r="G99" s="103">
        <f t="shared" si="11"/>
        <v>15.438504266951917</v>
      </c>
      <c r="H99" s="103">
        <f t="shared" si="12"/>
        <v>0.60475361320393906</v>
      </c>
      <c r="I99" s="103"/>
      <c r="J99" s="103">
        <f t="shared" si="13"/>
        <v>3.1319140386468596</v>
      </c>
    </row>
    <row r="100" spans="1:10">
      <c r="A100" s="64">
        <v>83</v>
      </c>
      <c r="B100" s="103">
        <f t="shared" si="9"/>
        <v>0.39572174811645489</v>
      </c>
      <c r="C100" s="103">
        <f t="shared" si="7"/>
        <v>0.4</v>
      </c>
      <c r="D100" s="103">
        <f t="shared" si="8"/>
        <v>0.60385042669519051</v>
      </c>
      <c r="F100" s="103">
        <f t="shared" si="10"/>
        <v>0.39614957330480949</v>
      </c>
      <c r="G100" s="103">
        <f t="shared" si="11"/>
        <v>15.834653840256726</v>
      </c>
      <c r="H100" s="103">
        <f t="shared" si="12"/>
        <v>0.60427825188354511</v>
      </c>
      <c r="I100" s="103"/>
      <c r="J100" s="103">
        <f t="shared" si="13"/>
        <v>3.1386896885916524</v>
      </c>
    </row>
    <row r="101" spans="1:10">
      <c r="A101" s="64">
        <v>84</v>
      </c>
      <c r="B101" s="103">
        <f t="shared" si="9"/>
        <v>0.39614957330480949</v>
      </c>
      <c r="C101" s="103">
        <f t="shared" si="7"/>
        <v>0.4</v>
      </c>
      <c r="D101" s="103">
        <f t="shared" si="8"/>
        <v>0.6034653840256714</v>
      </c>
      <c r="F101" s="103">
        <f t="shared" si="10"/>
        <v>0.3965346159743286</v>
      </c>
      <c r="G101" s="103">
        <f t="shared" si="11"/>
        <v>16.231188456231056</v>
      </c>
      <c r="H101" s="103">
        <f t="shared" si="12"/>
        <v>0.60385042669519051</v>
      </c>
      <c r="I101" s="103"/>
      <c r="J101" s="103">
        <f t="shared" si="13"/>
        <v>3.1447940333181652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8"/>
  <sheetViews>
    <sheetView topLeftCell="B1" workbookViewId="0">
      <selection activeCell="H4" sqref="H4"/>
    </sheetView>
  </sheetViews>
  <sheetFormatPr baseColWidth="10" defaultRowHeight="15" x14ac:dyDescent="0"/>
  <cols>
    <col min="2" max="3" width="12.33203125" customWidth="1"/>
    <col min="12" max="12" width="13" customWidth="1"/>
    <col min="13" max="13" width="14.33203125" customWidth="1"/>
    <col min="14" max="14" width="12.6640625" customWidth="1"/>
  </cols>
  <sheetData>
    <row r="1" spans="1:16" ht="16" thickBot="1">
      <c r="B1" t="s">
        <v>277</v>
      </c>
      <c r="D1" s="145">
        <v>1000</v>
      </c>
      <c r="E1" t="s">
        <v>184</v>
      </c>
      <c r="F1" s="130" t="s">
        <v>332</v>
      </c>
      <c r="G1" s="130"/>
      <c r="H1" s="130"/>
      <c r="I1" t="s">
        <v>287</v>
      </c>
    </row>
    <row r="2" spans="1:16" ht="16" thickBot="1">
      <c r="C2" t="s">
        <v>290</v>
      </c>
      <c r="D2" s="50">
        <v>40000</v>
      </c>
      <c r="E2" t="s">
        <v>283</v>
      </c>
      <c r="I2" t="s">
        <v>279</v>
      </c>
      <c r="J2" t="s">
        <v>281</v>
      </c>
      <c r="M2" t="s">
        <v>288</v>
      </c>
    </row>
    <row r="3" spans="1:16">
      <c r="C3" t="s">
        <v>278</v>
      </c>
      <c r="D3" s="206">
        <f>F3/3.6</f>
        <v>13.888888888888889</v>
      </c>
      <c r="E3" t="s">
        <v>284</v>
      </c>
      <c r="F3" s="145">
        <v>50</v>
      </c>
      <c r="G3" t="s">
        <v>285</v>
      </c>
      <c r="I3" t="s">
        <v>280</v>
      </c>
      <c r="J3" t="s">
        <v>282</v>
      </c>
      <c r="M3" t="s">
        <v>289</v>
      </c>
    </row>
    <row r="4" spans="1:16">
      <c r="C4" t="s">
        <v>210</v>
      </c>
      <c r="D4" s="145">
        <v>0.1</v>
      </c>
      <c r="E4" t="s">
        <v>34</v>
      </c>
    </row>
    <row r="5" spans="1:16">
      <c r="C5" t="s">
        <v>286</v>
      </c>
      <c r="D5" s="145">
        <v>0.25</v>
      </c>
      <c r="E5" t="s">
        <v>35</v>
      </c>
      <c r="I5" t="s">
        <v>444</v>
      </c>
      <c r="J5" s="147">
        <f>1/(1+D5*D4)</f>
        <v>0.97560975609756106</v>
      </c>
      <c r="M5" t="s">
        <v>291</v>
      </c>
      <c r="N5" t="s">
        <v>273</v>
      </c>
      <c r="O5" s="154">
        <v>200</v>
      </c>
      <c r="P5" t="s">
        <v>292</v>
      </c>
    </row>
    <row r="6" spans="1:16">
      <c r="C6" t="s">
        <v>293</v>
      </c>
      <c r="D6" s="145">
        <v>0.25</v>
      </c>
      <c r="E6">
        <v>0.25</v>
      </c>
      <c r="F6" s="145">
        <v>0.1</v>
      </c>
      <c r="J6" s="147"/>
      <c r="O6" s="131"/>
    </row>
    <row r="7" spans="1:16" s="131" customFormat="1">
      <c r="J7" s="131" t="s">
        <v>337</v>
      </c>
      <c r="M7" t="s">
        <v>316</v>
      </c>
      <c r="N7" s="162" t="s">
        <v>235</v>
      </c>
      <c r="O7" s="141">
        <f>-D5</f>
        <v>-0.25</v>
      </c>
    </row>
    <row r="8" spans="1:16">
      <c r="A8" t="s">
        <v>17</v>
      </c>
      <c r="B8" s="148" t="s">
        <v>313</v>
      </c>
      <c r="C8" t="s">
        <v>339</v>
      </c>
      <c r="D8" t="s">
        <v>315</v>
      </c>
      <c r="E8" s="157" t="s">
        <v>312</v>
      </c>
      <c r="F8" t="s">
        <v>295</v>
      </c>
      <c r="G8" s="64" t="s">
        <v>314</v>
      </c>
      <c r="H8" s="64" t="s">
        <v>338</v>
      </c>
      <c r="I8" s="141" t="s">
        <v>140</v>
      </c>
      <c r="J8" s="141" t="s">
        <v>336</v>
      </c>
      <c r="K8" s="141"/>
      <c r="L8" s="161"/>
      <c r="M8" s="141"/>
      <c r="N8" s="162" t="s">
        <v>236</v>
      </c>
      <c r="O8" s="141">
        <f>1/D1</f>
        <v>1E-3</v>
      </c>
    </row>
    <row r="9" spans="1:16">
      <c r="A9" s="148">
        <v>-1</v>
      </c>
      <c r="B9" s="148"/>
      <c r="C9" s="144"/>
      <c r="D9" s="144"/>
      <c r="E9" s="156">
        <v>0</v>
      </c>
      <c r="F9" s="156">
        <v>0</v>
      </c>
      <c r="G9" s="156">
        <v>0</v>
      </c>
      <c r="H9" s="156">
        <v>0</v>
      </c>
      <c r="I9" s="144">
        <v>0</v>
      </c>
      <c r="J9" s="144">
        <v>0</v>
      </c>
      <c r="K9" s="144"/>
      <c r="L9" s="144"/>
      <c r="M9" s="144"/>
      <c r="N9" s="163" t="s">
        <v>317</v>
      </c>
      <c r="O9" s="141">
        <v>1</v>
      </c>
    </row>
    <row r="10" spans="1:16">
      <c r="A10" s="64">
        <v>0</v>
      </c>
      <c r="B10" s="160">
        <f>$D$2</f>
        <v>40000</v>
      </c>
      <c r="C10" s="103">
        <f>B10-J10</f>
        <v>40000</v>
      </c>
      <c r="D10" s="103">
        <f t="shared" ref="D10:D41" si="0">B10-I10</f>
        <v>40000</v>
      </c>
      <c r="E10" s="144">
        <v>0</v>
      </c>
      <c r="F10" s="103">
        <f>($D$2*$D$4/$D$1-E10*$D$4/$D$1+F9)*$J$5</f>
        <v>3.9024390243902443</v>
      </c>
      <c r="G10" s="103">
        <f>(D10*$D$4/$D$1-E10*$D$4/$D$1+G9)*$J$5</f>
        <v>3.9024390243902443</v>
      </c>
      <c r="H10" s="103">
        <f>(C10*$D$4/$D$1-E10*$D$4/$D$1+H9)*$J$5</f>
        <v>3.9024390243902443</v>
      </c>
      <c r="I10" s="144">
        <f t="shared" ref="I10:I41" si="1">$O$5*G9</f>
        <v>0</v>
      </c>
      <c r="J10" s="144">
        <f>$O$5*H9-E10</f>
        <v>0</v>
      </c>
      <c r="K10" s="144"/>
      <c r="L10" s="144"/>
      <c r="M10" s="144"/>
      <c r="N10" s="144"/>
      <c r="O10" s="160"/>
    </row>
    <row r="11" spans="1:16">
      <c r="A11" s="64">
        <v>1</v>
      </c>
      <c r="B11" s="160">
        <f t="shared" ref="B11:B74" si="2">$D$2</f>
        <v>40000</v>
      </c>
      <c r="C11" s="103">
        <f t="shared" ref="C11:C74" si="3">B11-J11</f>
        <v>39219.512195121948</v>
      </c>
      <c r="D11" s="103">
        <f t="shared" si="0"/>
        <v>39219.512195121948</v>
      </c>
      <c r="E11" s="144">
        <v>0</v>
      </c>
      <c r="F11" s="103">
        <f t="shared" ref="F11:F74" si="4">($D$2*$D$4/$D$1-E11*$D$4/$D$1+F10)*$J$5</f>
        <v>7.709696609161214</v>
      </c>
      <c r="G11" s="103">
        <f t="shared" ref="G11:G74" si="5">(D11*$D$4/$D$1-E11*$D$4/$D$1+G10)*$J$5</f>
        <v>7.6335514574657948</v>
      </c>
      <c r="H11" s="103">
        <f t="shared" ref="H11:H74" si="6">(C11*$D$4/$D$1-E11*$D$4/$D$1+H10)*$J$5</f>
        <v>7.6335514574657948</v>
      </c>
      <c r="I11" s="144">
        <f>$O$5*G10</f>
        <v>780.48780487804891</v>
      </c>
      <c r="J11" s="144">
        <f>$O$5*H10-E11</f>
        <v>780.48780487804891</v>
      </c>
      <c r="K11" s="144"/>
      <c r="L11" s="144"/>
      <c r="M11" s="144"/>
      <c r="N11" s="144"/>
      <c r="O11" s="160"/>
    </row>
    <row r="12" spans="1:16">
      <c r="A12" s="64">
        <v>2</v>
      </c>
      <c r="B12" s="160">
        <f t="shared" si="2"/>
        <v>40000</v>
      </c>
      <c r="C12" s="103">
        <f t="shared" si="3"/>
        <v>38473.28970850684</v>
      </c>
      <c r="D12" s="103">
        <f t="shared" si="0"/>
        <v>38473.28970850684</v>
      </c>
      <c r="E12" s="144">
        <v>0</v>
      </c>
      <c r="F12" s="103">
        <f t="shared" si="4"/>
        <v>11.424094252840209</v>
      </c>
      <c r="G12" s="103">
        <f t="shared" si="5"/>
        <v>11.200858954455102</v>
      </c>
      <c r="H12" s="103">
        <f t="shared" si="6"/>
        <v>11.200858954455102</v>
      </c>
      <c r="I12" s="144">
        <f t="shared" si="1"/>
        <v>1526.710291493159</v>
      </c>
      <c r="J12" s="144">
        <f t="shared" ref="J12:J74" si="7">$O$5*H11-E12</f>
        <v>1526.710291493159</v>
      </c>
      <c r="K12" s="144"/>
      <c r="L12" s="144"/>
      <c r="M12" s="144"/>
      <c r="N12" s="144"/>
      <c r="O12" s="160"/>
    </row>
    <row r="13" spans="1:16">
      <c r="A13" s="64">
        <v>3</v>
      </c>
      <c r="B13" s="160">
        <f t="shared" si="2"/>
        <v>40000</v>
      </c>
      <c r="C13" s="103">
        <f t="shared" si="3"/>
        <v>37759.828209108979</v>
      </c>
      <c r="D13" s="103">
        <f t="shared" si="0"/>
        <v>37759.828209108979</v>
      </c>
      <c r="E13" s="144">
        <v>0</v>
      </c>
      <c r="F13" s="103">
        <f t="shared" si="4"/>
        <v>15.04789683203923</v>
      </c>
      <c r="G13" s="103">
        <f t="shared" si="5"/>
        <v>14.611552951576588</v>
      </c>
      <c r="H13" s="103">
        <f t="shared" si="6"/>
        <v>14.611552951576588</v>
      </c>
      <c r="I13" s="144">
        <f t="shared" si="1"/>
        <v>2240.1717908910205</v>
      </c>
      <c r="J13" s="144">
        <f t="shared" si="7"/>
        <v>2240.1717908910205</v>
      </c>
      <c r="K13" s="144"/>
      <c r="L13" s="144"/>
      <c r="M13" s="144"/>
      <c r="N13" s="144"/>
      <c r="O13" s="160"/>
    </row>
    <row r="14" spans="1:16">
      <c r="A14" s="64">
        <v>4</v>
      </c>
      <c r="B14" s="160">
        <f t="shared" si="2"/>
        <v>40000</v>
      </c>
      <c r="C14" s="103">
        <f t="shared" si="3"/>
        <v>37077.689409684681</v>
      </c>
      <c r="D14" s="103">
        <f t="shared" si="0"/>
        <v>37077.689409684681</v>
      </c>
      <c r="E14" s="144">
        <v>0</v>
      </c>
      <c r="F14" s="103">
        <f t="shared" si="4"/>
        <v>18.583313982477296</v>
      </c>
      <c r="G14" s="103">
        <f t="shared" si="5"/>
        <v>17.872509163458592</v>
      </c>
      <c r="H14" s="103">
        <f t="shared" si="6"/>
        <v>17.872509163458592</v>
      </c>
      <c r="I14" s="144">
        <f t="shared" si="1"/>
        <v>2922.3105903153178</v>
      </c>
      <c r="J14" s="144">
        <f t="shared" si="7"/>
        <v>2922.3105903153178</v>
      </c>
      <c r="K14" s="144"/>
      <c r="L14" s="144"/>
      <c r="M14" s="144"/>
      <c r="N14" s="144"/>
      <c r="O14" s="160"/>
    </row>
    <row r="15" spans="1:16">
      <c r="A15" s="64">
        <v>5</v>
      </c>
      <c r="B15" s="160">
        <f t="shared" si="2"/>
        <v>40000</v>
      </c>
      <c r="C15" s="103">
        <f t="shared" si="3"/>
        <v>36425.49816730828</v>
      </c>
      <c r="D15" s="103">
        <f t="shared" si="0"/>
        <v>36425.49816730828</v>
      </c>
      <c r="E15" s="144">
        <v>0</v>
      </c>
      <c r="F15" s="103">
        <f t="shared" si="4"/>
        <v>22.032501446319316</v>
      </c>
      <c r="G15" s="103">
        <f t="shared" si="5"/>
        <v>20.99030144408724</v>
      </c>
      <c r="H15" s="103">
        <f t="shared" si="6"/>
        <v>20.99030144408724</v>
      </c>
      <c r="I15" s="144">
        <f t="shared" si="1"/>
        <v>3574.5018326917184</v>
      </c>
      <c r="J15" s="144">
        <f t="shared" si="7"/>
        <v>3574.5018326917184</v>
      </c>
      <c r="K15" s="144"/>
      <c r="L15" s="144"/>
      <c r="M15" s="144"/>
      <c r="N15" s="144"/>
      <c r="O15" s="160"/>
    </row>
    <row r="16" spans="1:16">
      <c r="A16" s="64">
        <v>6</v>
      </c>
      <c r="B16" s="160">
        <f t="shared" si="2"/>
        <v>40000</v>
      </c>
      <c r="C16" s="103">
        <f t="shared" si="3"/>
        <v>35801.939711182553</v>
      </c>
      <c r="D16" s="103">
        <f t="shared" si="0"/>
        <v>35801.939711182553</v>
      </c>
      <c r="E16" s="144">
        <v>0</v>
      </c>
      <c r="F16" s="103">
        <f t="shared" si="4"/>
        <v>25.397562386652993</v>
      </c>
      <c r="G16" s="103">
        <f t="shared" si="5"/>
        <v>23.971215039224877</v>
      </c>
      <c r="H16" s="103">
        <f t="shared" si="6"/>
        <v>23.971215039224877</v>
      </c>
      <c r="I16" s="144">
        <f t="shared" si="1"/>
        <v>4198.0602888174481</v>
      </c>
      <c r="J16" s="144">
        <f t="shared" si="7"/>
        <v>4198.0602888174481</v>
      </c>
      <c r="K16" s="144"/>
      <c r="L16" s="144"/>
      <c r="M16" s="144"/>
      <c r="N16" s="144"/>
      <c r="O16" s="160"/>
    </row>
    <row r="17" spans="1:15">
      <c r="A17" s="64">
        <v>7</v>
      </c>
      <c r="B17" s="160">
        <f t="shared" si="2"/>
        <v>40000</v>
      </c>
      <c r="C17" s="103">
        <f t="shared" si="3"/>
        <v>35205.756992155024</v>
      </c>
      <c r="D17" s="103">
        <f t="shared" si="0"/>
        <v>35205.756992155024</v>
      </c>
      <c r="E17" s="144">
        <v>0</v>
      </c>
      <c r="F17" s="103">
        <f t="shared" si="4"/>
        <v>28.680548669905363</v>
      </c>
      <c r="G17" s="103">
        <f t="shared" si="5"/>
        <v>26.821259257015008</v>
      </c>
      <c r="H17" s="103">
        <f t="shared" si="6"/>
        <v>26.821259257015008</v>
      </c>
      <c r="I17" s="144">
        <f t="shared" si="1"/>
        <v>4794.2430078449752</v>
      </c>
      <c r="J17" s="144">
        <f t="shared" si="7"/>
        <v>4794.2430078449752</v>
      </c>
      <c r="K17" s="144"/>
      <c r="L17" s="144"/>
      <c r="M17" s="144"/>
      <c r="N17" s="144"/>
      <c r="O17" s="160"/>
    </row>
    <row r="18" spans="1:15">
      <c r="A18" s="64">
        <v>8</v>
      </c>
      <c r="B18" s="160">
        <f t="shared" si="2"/>
        <v>40000</v>
      </c>
      <c r="C18" s="103">
        <f t="shared" si="3"/>
        <v>34635.748148596998</v>
      </c>
      <c r="D18" s="103">
        <f t="shared" si="0"/>
        <v>34635.748148596998</v>
      </c>
      <c r="E18" s="144">
        <v>0</v>
      </c>
      <c r="F18" s="103">
        <f t="shared" si="4"/>
        <v>31.883462116980844</v>
      </c>
      <c r="G18" s="103">
        <f t="shared" si="5"/>
        <v>29.546179582316793</v>
      </c>
      <c r="H18" s="103">
        <f t="shared" si="6"/>
        <v>29.546179582316793</v>
      </c>
      <c r="I18" s="144">
        <f t="shared" si="1"/>
        <v>5364.2518514030016</v>
      </c>
      <c r="J18" s="144">
        <f t="shared" si="7"/>
        <v>5364.2518514030016</v>
      </c>
      <c r="K18" s="144"/>
      <c r="L18" s="144"/>
      <c r="M18" s="144"/>
      <c r="N18" s="144"/>
      <c r="O18" s="160"/>
    </row>
    <row r="19" spans="1:15">
      <c r="A19" s="64">
        <v>9</v>
      </c>
      <c r="B19" s="160">
        <f t="shared" si="2"/>
        <v>40000</v>
      </c>
      <c r="C19" s="103">
        <f t="shared" si="3"/>
        <v>34090.76408353664</v>
      </c>
      <c r="D19" s="103">
        <f t="shared" si="0"/>
        <v>34090.76408353664</v>
      </c>
      <c r="E19" s="144">
        <v>0</v>
      </c>
      <c r="F19" s="103">
        <f t="shared" si="4"/>
        <v>35.008255723883757</v>
      </c>
      <c r="G19" s="103">
        <f t="shared" si="5"/>
        <v>32.151469259190698</v>
      </c>
      <c r="H19" s="103">
        <f t="shared" si="6"/>
        <v>32.151469259190698</v>
      </c>
      <c r="I19" s="144">
        <f t="shared" si="1"/>
        <v>5909.2359164633581</v>
      </c>
      <c r="J19" s="144">
        <f t="shared" si="7"/>
        <v>5909.2359164633581</v>
      </c>
      <c r="K19" s="144"/>
      <c r="L19" s="144"/>
      <c r="M19" s="144"/>
      <c r="N19" s="144"/>
      <c r="O19" s="160"/>
    </row>
    <row r="20" spans="1:15">
      <c r="A20" s="64">
        <v>10</v>
      </c>
      <c r="B20" s="160">
        <f t="shared" si="2"/>
        <v>40000</v>
      </c>
      <c r="C20" s="103">
        <f t="shared" si="3"/>
        <v>33569.706148161858</v>
      </c>
      <c r="D20" s="103">
        <f t="shared" si="0"/>
        <v>33569.706148161858</v>
      </c>
      <c r="E20" s="144">
        <v>0</v>
      </c>
      <c r="F20" s="103">
        <f t="shared" si="4"/>
        <v>38.056834852569523</v>
      </c>
      <c r="G20" s="103">
        <f t="shared" si="5"/>
        <v>34.642380364884765</v>
      </c>
      <c r="H20" s="103">
        <f t="shared" si="6"/>
        <v>34.642380364884765</v>
      </c>
      <c r="I20" s="144">
        <f t="shared" si="1"/>
        <v>6430.2938518381397</v>
      </c>
      <c r="J20" s="144">
        <f t="shared" si="7"/>
        <v>6430.2938518381397</v>
      </c>
      <c r="K20" s="144"/>
      <c r="L20" s="144"/>
      <c r="M20" s="144"/>
      <c r="N20" s="144"/>
      <c r="O20" s="160"/>
    </row>
    <row r="21" spans="1:15">
      <c r="A21" s="64">
        <v>11</v>
      </c>
      <c r="B21" s="160">
        <f t="shared" si="2"/>
        <v>40000</v>
      </c>
      <c r="C21" s="103">
        <f t="shared" si="3"/>
        <v>33071.523927023045</v>
      </c>
      <c r="D21" s="103">
        <f t="shared" si="0"/>
        <v>33071.523927023045</v>
      </c>
      <c r="E21" s="144">
        <v>0</v>
      </c>
      <c r="F21" s="103">
        <f t="shared" si="4"/>
        <v>41.031058392750758</v>
      </c>
      <c r="G21" s="103">
        <f t="shared" si="5"/>
        <v>37.023934397645924</v>
      </c>
      <c r="H21" s="103">
        <f t="shared" si="6"/>
        <v>37.023934397645924</v>
      </c>
      <c r="I21" s="144">
        <f t="shared" si="1"/>
        <v>6928.4760729769532</v>
      </c>
      <c r="J21" s="144">
        <f t="shared" si="7"/>
        <v>6928.4760729769532</v>
      </c>
      <c r="K21" s="144"/>
      <c r="L21" s="144"/>
      <c r="M21" s="144"/>
      <c r="N21" s="144"/>
      <c r="O21" s="160"/>
    </row>
    <row r="22" spans="1:15">
      <c r="A22" s="64">
        <v>12</v>
      </c>
      <c r="B22" s="160">
        <f t="shared" si="2"/>
        <v>40000</v>
      </c>
      <c r="C22" s="103">
        <f t="shared" si="3"/>
        <v>32595.213120470813</v>
      </c>
      <c r="D22" s="103">
        <f t="shared" si="0"/>
        <v>32595.213120470813</v>
      </c>
      <c r="E22" s="144">
        <v>0</v>
      </c>
      <c r="F22" s="103">
        <f t="shared" si="4"/>
        <v>43.932739895366595</v>
      </c>
      <c r="G22" s="103">
        <f t="shared" si="5"/>
        <v>39.3009323997005</v>
      </c>
      <c r="H22" s="103">
        <f t="shared" si="6"/>
        <v>39.3009323997005</v>
      </c>
      <c r="I22" s="144">
        <f t="shared" si="1"/>
        <v>7404.7868795291852</v>
      </c>
      <c r="J22" s="144">
        <f t="shared" si="7"/>
        <v>7404.7868795291852</v>
      </c>
      <c r="K22" s="144"/>
      <c r="L22" s="144"/>
      <c r="M22" s="144"/>
      <c r="N22" s="144"/>
      <c r="O22" s="160"/>
    </row>
    <row r="23" spans="1:15">
      <c r="A23" s="64">
        <v>13</v>
      </c>
      <c r="B23" s="160">
        <f t="shared" si="2"/>
        <v>40000</v>
      </c>
      <c r="C23" s="103">
        <f t="shared" si="3"/>
        <v>32139.813520059899</v>
      </c>
      <c r="D23" s="103">
        <f t="shared" si="0"/>
        <v>32139.813520059899</v>
      </c>
      <c r="E23" s="144">
        <v>0</v>
      </c>
      <c r="F23" s="103">
        <f t="shared" si="4"/>
        <v>46.76364867840644</v>
      </c>
      <c r="G23" s="103">
        <f t="shared" si="5"/>
        <v>41.477964635811212</v>
      </c>
      <c r="H23" s="103">
        <f t="shared" si="6"/>
        <v>41.477964635811212</v>
      </c>
      <c r="I23" s="144">
        <f t="shared" si="1"/>
        <v>7860.1864799401001</v>
      </c>
      <c r="J23" s="144">
        <f t="shared" si="7"/>
        <v>7860.1864799401001</v>
      </c>
      <c r="K23" s="144"/>
      <c r="L23" s="144"/>
      <c r="M23" s="144"/>
      <c r="N23" s="144"/>
      <c r="O23" s="160"/>
    </row>
    <row r="24" spans="1:15">
      <c r="A24" s="64">
        <v>14</v>
      </c>
      <c r="B24" s="160">
        <f t="shared" si="2"/>
        <v>40000</v>
      </c>
      <c r="C24" s="103">
        <f t="shared" si="3"/>
        <v>31704.407072837756</v>
      </c>
      <c r="D24" s="103">
        <f t="shared" si="0"/>
        <v>31704.407072837756</v>
      </c>
      <c r="E24" s="144">
        <v>0</v>
      </c>
      <c r="F24" s="103">
        <f t="shared" si="4"/>
        <v>49.525510905762388</v>
      </c>
      <c r="G24" s="103">
        <f t="shared" si="5"/>
        <v>43.559419846921941</v>
      </c>
      <c r="H24" s="103">
        <f t="shared" si="6"/>
        <v>43.559419846921941</v>
      </c>
      <c r="I24" s="144">
        <f t="shared" si="1"/>
        <v>8295.5929271622426</v>
      </c>
      <c r="J24" s="144">
        <f t="shared" si="7"/>
        <v>8295.5929271622426</v>
      </c>
      <c r="K24" s="144"/>
      <c r="L24" s="144"/>
      <c r="M24" s="144"/>
      <c r="N24" s="144"/>
      <c r="O24" s="160"/>
    </row>
    <row r="25" spans="1:15">
      <c r="A25" s="64">
        <v>15</v>
      </c>
      <c r="B25" s="160">
        <f t="shared" si="2"/>
        <v>40000</v>
      </c>
      <c r="C25" s="103">
        <f t="shared" si="3"/>
        <v>31288.116030615613</v>
      </c>
      <c r="D25" s="103">
        <f t="shared" si="0"/>
        <v>31288.116030615613</v>
      </c>
      <c r="E25" s="144">
        <v>0</v>
      </c>
      <c r="F25" s="103">
        <f t="shared" si="4"/>
        <v>52.220010639768191</v>
      </c>
      <c r="G25" s="103">
        <f t="shared" si="5"/>
        <v>45.549494097544887</v>
      </c>
      <c r="H25" s="103">
        <f t="shared" si="6"/>
        <v>45.549494097544887</v>
      </c>
      <c r="I25" s="144">
        <f t="shared" si="1"/>
        <v>8711.8839693843875</v>
      </c>
      <c r="J25" s="144">
        <f t="shared" si="7"/>
        <v>8711.8839693843875</v>
      </c>
      <c r="K25" s="144"/>
      <c r="L25" s="144"/>
      <c r="M25" s="144"/>
      <c r="N25" s="144"/>
      <c r="O25" s="160"/>
    </row>
    <row r="26" spans="1:15">
      <c r="A26" s="64">
        <v>16</v>
      </c>
      <c r="B26" s="160">
        <f t="shared" si="2"/>
        <v>40000</v>
      </c>
      <c r="C26" s="103">
        <f t="shared" si="3"/>
        <v>30890.101180491023</v>
      </c>
      <c r="D26" s="103">
        <f t="shared" si="0"/>
        <v>30890.101180491023</v>
      </c>
      <c r="E26" s="144">
        <v>0</v>
      </c>
      <c r="F26" s="103">
        <f t="shared" si="4"/>
        <v>54.84879086806653</v>
      </c>
      <c r="G26" s="103">
        <f t="shared" si="5"/>
        <v>47.452199234725846</v>
      </c>
      <c r="H26" s="103">
        <f t="shared" si="6"/>
        <v>47.452199234725846</v>
      </c>
      <c r="I26" s="144">
        <f t="shared" si="1"/>
        <v>9109.8988195089769</v>
      </c>
      <c r="J26" s="144">
        <f t="shared" si="7"/>
        <v>9109.8988195089769</v>
      </c>
      <c r="K26" s="144"/>
      <c r="L26" s="144"/>
      <c r="M26" s="144"/>
      <c r="N26" s="144"/>
      <c r="O26" s="160"/>
    </row>
    <row r="27" spans="1:15">
      <c r="A27" s="64">
        <v>17</v>
      </c>
      <c r="B27" s="160">
        <f t="shared" si="2"/>
        <v>40000</v>
      </c>
      <c r="C27" s="103">
        <f t="shared" si="3"/>
        <v>30509.56015305483</v>
      </c>
      <c r="D27" s="103">
        <f t="shared" si="0"/>
        <v>30509.56015305483</v>
      </c>
      <c r="E27" s="144">
        <v>0</v>
      </c>
      <c r="F27" s="103">
        <f t="shared" si="4"/>
        <v>57.413454505430764</v>
      </c>
      <c r="G27" s="103">
        <f t="shared" si="5"/>
        <v>49.271370975640323</v>
      </c>
      <c r="H27" s="103">
        <f t="shared" si="6"/>
        <v>49.271370975640323</v>
      </c>
      <c r="I27" s="144">
        <f t="shared" si="1"/>
        <v>9490.4398469451698</v>
      </c>
      <c r="J27" s="144">
        <f t="shared" si="7"/>
        <v>9490.4398469451698</v>
      </c>
      <c r="K27" s="144"/>
      <c r="L27" s="144"/>
      <c r="M27" s="144"/>
      <c r="N27" s="144"/>
      <c r="O27" s="160"/>
    </row>
    <row r="28" spans="1:15">
      <c r="A28" s="64">
        <v>18</v>
      </c>
      <c r="B28" s="160">
        <f t="shared" si="2"/>
        <v>40000</v>
      </c>
      <c r="C28" s="103">
        <f t="shared" si="3"/>
        <v>30145.725804871938</v>
      </c>
      <c r="D28" s="103">
        <f t="shared" si="0"/>
        <v>30145.725804871938</v>
      </c>
      <c r="E28" s="144">
        <v>0</v>
      </c>
      <c r="F28" s="103">
        <f t="shared" si="4"/>
        <v>59.91556537115197</v>
      </c>
      <c r="G28" s="103">
        <f t="shared" si="5"/>
        <v>51.010676640124416</v>
      </c>
      <c r="H28" s="103">
        <f t="shared" si="6"/>
        <v>51.010676640124416</v>
      </c>
      <c r="I28" s="144">
        <f t="shared" si="1"/>
        <v>9854.2741951280641</v>
      </c>
      <c r="J28" s="144">
        <f t="shared" si="7"/>
        <v>9854.2741951280641</v>
      </c>
      <c r="K28" s="144"/>
      <c r="L28" s="144"/>
      <c r="M28" s="144"/>
      <c r="N28" s="144"/>
      <c r="O28" s="160"/>
    </row>
    <row r="29" spans="1:15">
      <c r="A29" s="64">
        <v>19</v>
      </c>
      <c r="B29" s="160">
        <f t="shared" si="2"/>
        <v>40000</v>
      </c>
      <c r="C29" s="103">
        <f t="shared" si="3"/>
        <v>29797.864671975116</v>
      </c>
      <c r="D29" s="103">
        <f t="shared" si="0"/>
        <v>29797.864671975116</v>
      </c>
      <c r="E29" s="144">
        <v>0</v>
      </c>
      <c r="F29" s="103">
        <f t="shared" si="4"/>
        <v>62.356649142587294</v>
      </c>
      <c r="G29" s="103">
        <f t="shared" si="5"/>
        <v>52.673622543728719</v>
      </c>
      <c r="H29" s="103">
        <f t="shared" si="6"/>
        <v>52.673622543728719</v>
      </c>
      <c r="I29" s="144">
        <f t="shared" si="1"/>
        <v>10202.135328024884</v>
      </c>
      <c r="J29" s="144">
        <f t="shared" si="7"/>
        <v>10202.135328024884</v>
      </c>
      <c r="K29" s="144"/>
      <c r="L29" s="144"/>
      <c r="M29" s="144"/>
      <c r="N29" s="144"/>
      <c r="O29" s="160"/>
    </row>
    <row r="30" spans="1:15">
      <c r="A30" s="64">
        <v>20</v>
      </c>
      <c r="B30" s="160">
        <f t="shared" si="2"/>
        <v>40000</v>
      </c>
      <c r="C30" s="103">
        <f t="shared" si="3"/>
        <v>29465.275491254259</v>
      </c>
      <c r="D30" s="103">
        <f t="shared" si="0"/>
        <v>29465.275491254259</v>
      </c>
      <c r="E30" s="144">
        <v>0</v>
      </c>
      <c r="F30" s="103">
        <f t="shared" si="4"/>
        <v>64.738194285451016</v>
      </c>
      <c r="G30" s="103">
        <f t="shared" si="5"/>
        <v>54.263561066199173</v>
      </c>
      <c r="H30" s="103">
        <f t="shared" si="6"/>
        <v>54.263561066199173</v>
      </c>
      <c r="I30" s="144">
        <f t="shared" si="1"/>
        <v>10534.724508745743</v>
      </c>
      <c r="J30" s="144">
        <f t="shared" si="7"/>
        <v>10534.724508745743</v>
      </c>
      <c r="K30" s="144"/>
      <c r="L30" s="144"/>
      <c r="M30" s="144"/>
      <c r="N30" s="144"/>
      <c r="O30" s="160"/>
    </row>
    <row r="31" spans="1:15">
      <c r="A31" s="64">
        <v>21</v>
      </c>
      <c r="B31" s="160">
        <f t="shared" si="2"/>
        <v>40000</v>
      </c>
      <c r="C31" s="103">
        <f t="shared" si="3"/>
        <v>29147.287786760164</v>
      </c>
      <c r="D31" s="103">
        <f t="shared" si="0"/>
        <v>29147.287786760164</v>
      </c>
      <c r="E31" s="144">
        <v>0</v>
      </c>
      <c r="F31" s="103">
        <f t="shared" si="4"/>
        <v>67.061652961415632</v>
      </c>
      <c r="G31" s="103">
        <f t="shared" si="5"/>
        <v>55.783697409634335</v>
      </c>
      <c r="H31" s="103">
        <f t="shared" si="6"/>
        <v>55.783697409634335</v>
      </c>
      <c r="I31" s="144">
        <f t="shared" si="1"/>
        <v>10852.712213239834</v>
      </c>
      <c r="J31" s="144">
        <f t="shared" si="7"/>
        <v>10852.712213239834</v>
      </c>
      <c r="K31" s="144"/>
      <c r="L31" s="144"/>
      <c r="M31" s="144"/>
      <c r="N31" s="144"/>
      <c r="O31" s="160"/>
    </row>
    <row r="32" spans="1:15">
      <c r="A32" s="64">
        <v>22</v>
      </c>
      <c r="B32" s="160">
        <f t="shared" si="2"/>
        <v>40000</v>
      </c>
      <c r="C32" s="103">
        <f t="shared" si="3"/>
        <v>28843.260518073133</v>
      </c>
      <c r="D32" s="103">
        <f t="shared" si="0"/>
        <v>28843.260518073133</v>
      </c>
      <c r="E32" s="144">
        <v>0</v>
      </c>
      <c r="F32" s="103">
        <f t="shared" si="4"/>
        <v>69.328441913576228</v>
      </c>
      <c r="G32" s="103">
        <f t="shared" si="5"/>
        <v>57.237096059943077</v>
      </c>
      <c r="H32" s="103">
        <f t="shared" si="6"/>
        <v>57.237096059943077</v>
      </c>
      <c r="I32" s="144">
        <f t="shared" si="1"/>
        <v>11156.739481926867</v>
      </c>
      <c r="J32" s="144">
        <f t="shared" si="7"/>
        <v>11156.739481926867</v>
      </c>
      <c r="K32" s="144"/>
      <c r="L32" s="144"/>
      <c r="M32" s="144"/>
      <c r="N32" s="144"/>
      <c r="O32" s="160"/>
    </row>
    <row r="33" spans="1:15">
      <c r="A33" s="64">
        <v>23</v>
      </c>
      <c r="B33" s="160">
        <f t="shared" si="2"/>
        <v>40000</v>
      </c>
      <c r="C33" s="103">
        <f t="shared" si="3"/>
        <v>28552.580788011386</v>
      </c>
      <c r="D33" s="103">
        <f t="shared" si="0"/>
        <v>28552.580788011386</v>
      </c>
      <c r="E33" s="144">
        <v>0</v>
      </c>
      <c r="F33" s="103">
        <f t="shared" si="4"/>
        <v>71.53994333031828</v>
      </c>
      <c r="G33" s="103">
        <f t="shared" si="5"/>
        <v>58.626686964628504</v>
      </c>
      <c r="H33" s="103">
        <f t="shared" si="6"/>
        <v>58.626686964628504</v>
      </c>
      <c r="I33" s="144">
        <f t="shared" si="1"/>
        <v>11447.419211988616</v>
      </c>
      <c r="J33" s="144">
        <f t="shared" si="7"/>
        <v>11447.419211988616</v>
      </c>
      <c r="K33" s="144"/>
      <c r="L33" s="144"/>
      <c r="M33" s="144"/>
      <c r="N33" s="144"/>
      <c r="O33" s="160"/>
    </row>
    <row r="34" spans="1:15">
      <c r="A34" s="64">
        <v>24</v>
      </c>
      <c r="B34" s="160">
        <f t="shared" si="2"/>
        <v>40000</v>
      </c>
      <c r="C34" s="103">
        <f t="shared" si="3"/>
        <v>28274.6626070743</v>
      </c>
      <c r="D34" s="103">
        <f t="shared" si="0"/>
        <v>28274.6626070743</v>
      </c>
      <c r="E34" s="144">
        <v>0</v>
      </c>
      <c r="F34" s="103">
        <f t="shared" si="4"/>
        <v>73.697505688115399</v>
      </c>
      <c r="G34" s="103">
        <f t="shared" si="5"/>
        <v>59.955271439352138</v>
      </c>
      <c r="H34" s="103">
        <f t="shared" si="6"/>
        <v>59.955271439352138</v>
      </c>
      <c r="I34" s="144">
        <f t="shared" si="1"/>
        <v>11725.337392925701</v>
      </c>
      <c r="J34" s="144">
        <f t="shared" si="7"/>
        <v>11725.337392925701</v>
      </c>
      <c r="K34" s="144"/>
      <c r="L34" s="144"/>
      <c r="M34" s="144"/>
      <c r="N34" s="144"/>
      <c r="O34" s="160"/>
    </row>
    <row r="35" spans="1:15">
      <c r="A35" s="64">
        <v>25</v>
      </c>
      <c r="B35" s="160">
        <f t="shared" si="2"/>
        <v>40000</v>
      </c>
      <c r="C35" s="103">
        <f t="shared" si="3"/>
        <v>28008.945712129571</v>
      </c>
      <c r="D35" s="103">
        <f t="shared" si="0"/>
        <v>28008.945712129571</v>
      </c>
      <c r="E35" s="144">
        <v>0</v>
      </c>
      <c r="F35" s="103">
        <f t="shared" si="4"/>
        <v>75.802444573771126</v>
      </c>
      <c r="G35" s="103">
        <f t="shared" si="5"/>
        <v>61.225527815185465</v>
      </c>
      <c r="H35" s="103">
        <f t="shared" si="6"/>
        <v>61.225527815185465</v>
      </c>
      <c r="I35" s="144">
        <f t="shared" si="1"/>
        <v>11991.054287870427</v>
      </c>
      <c r="J35" s="144">
        <f t="shared" si="7"/>
        <v>11991.054287870427</v>
      </c>
      <c r="K35" s="144"/>
      <c r="L35" s="144"/>
      <c r="M35" s="144"/>
      <c r="N35" s="144"/>
      <c r="O35" s="160"/>
    </row>
    <row r="36" spans="1:15">
      <c r="A36" s="64">
        <v>26</v>
      </c>
      <c r="B36" s="160">
        <f t="shared" si="2"/>
        <v>40000</v>
      </c>
      <c r="C36" s="103">
        <f t="shared" si="3"/>
        <v>27754.894436962906</v>
      </c>
      <c r="D36" s="103">
        <f t="shared" si="0"/>
        <v>27754.894436962906</v>
      </c>
      <c r="E36" s="144">
        <v>0</v>
      </c>
      <c r="F36" s="103">
        <f t="shared" si="4"/>
        <v>77.856043486605984</v>
      </c>
      <c r="G36" s="103">
        <f t="shared" si="5"/>
        <v>62.440016837933427</v>
      </c>
      <c r="H36" s="103">
        <f t="shared" si="6"/>
        <v>62.440016837933427</v>
      </c>
      <c r="I36" s="144">
        <f t="shared" si="1"/>
        <v>12245.105563037094</v>
      </c>
      <c r="J36" s="144">
        <f t="shared" si="7"/>
        <v>12245.105563037094</v>
      </c>
      <c r="K36" s="144"/>
      <c r="L36" s="144"/>
      <c r="M36" s="144"/>
      <c r="N36" s="144"/>
      <c r="O36" s="160"/>
    </row>
    <row r="37" spans="1:15">
      <c r="A37" s="64">
        <v>27</v>
      </c>
      <c r="B37" s="160">
        <f t="shared" si="2"/>
        <v>40000</v>
      </c>
      <c r="C37" s="103">
        <f t="shared" si="3"/>
        <v>27511.996632413313</v>
      </c>
      <c r="D37" s="103">
        <f t="shared" si="0"/>
        <v>27511.996632413313</v>
      </c>
      <c r="E37" s="144">
        <v>0</v>
      </c>
      <c r="F37" s="103">
        <f t="shared" si="4"/>
        <v>79.859554621079013</v>
      </c>
      <c r="G37" s="103">
        <f t="shared" si="5"/>
        <v>63.601186830414413</v>
      </c>
      <c r="H37" s="103">
        <f t="shared" si="6"/>
        <v>63.601186830414413</v>
      </c>
      <c r="I37" s="144">
        <f t="shared" si="1"/>
        <v>12488.003367586685</v>
      </c>
      <c r="J37" s="144">
        <f t="shared" si="7"/>
        <v>12488.003367586685</v>
      </c>
      <c r="K37" s="144"/>
      <c r="L37" s="144"/>
      <c r="M37" s="144"/>
      <c r="N37" s="144"/>
      <c r="O37" s="160"/>
    </row>
    <row r="38" spans="1:15">
      <c r="A38" s="64">
        <v>28</v>
      </c>
      <c r="B38" s="160">
        <f t="shared" si="2"/>
        <v>40000</v>
      </c>
      <c r="C38" s="103">
        <f t="shared" si="3"/>
        <v>27279.762633917118</v>
      </c>
      <c r="D38" s="103">
        <f t="shared" si="0"/>
        <v>27279.762633917118</v>
      </c>
      <c r="E38" s="144">
        <v>0</v>
      </c>
      <c r="F38" s="103">
        <f t="shared" si="4"/>
        <v>81.814199630320999</v>
      </c>
      <c r="G38" s="103">
        <f t="shared" si="5"/>
        <v>64.711378628103546</v>
      </c>
      <c r="H38" s="103">
        <f t="shared" si="6"/>
        <v>64.711378628103546</v>
      </c>
      <c r="I38" s="144">
        <f t="shared" si="1"/>
        <v>12720.237366082883</v>
      </c>
      <c r="J38" s="144">
        <f t="shared" si="7"/>
        <v>12720.237366082883</v>
      </c>
      <c r="K38" s="144"/>
      <c r="L38" s="144"/>
      <c r="M38" s="144"/>
      <c r="N38" s="144"/>
      <c r="O38" s="160"/>
    </row>
    <row r="39" spans="1:15">
      <c r="A39" s="64">
        <v>29</v>
      </c>
      <c r="B39" s="160">
        <f t="shared" si="2"/>
        <v>40000</v>
      </c>
      <c r="C39" s="103">
        <f t="shared" si="3"/>
        <v>27057.724274379289</v>
      </c>
      <c r="D39" s="103">
        <f t="shared" si="0"/>
        <v>27057.724274379289</v>
      </c>
      <c r="E39" s="103">
        <v>0</v>
      </c>
      <c r="F39" s="103">
        <f t="shared" si="4"/>
        <v>83.721170371044892</v>
      </c>
      <c r="G39" s="103">
        <f t="shared" si="5"/>
        <v>65.772830298089261</v>
      </c>
      <c r="H39" s="103">
        <f t="shared" si="6"/>
        <v>65.772830298089261</v>
      </c>
      <c r="I39" s="144">
        <f t="shared" si="1"/>
        <v>12942.27572562071</v>
      </c>
      <c r="J39" s="144">
        <f t="shared" si="7"/>
        <v>12942.27572562071</v>
      </c>
      <c r="K39" s="144"/>
      <c r="L39" s="144"/>
      <c r="M39" s="144"/>
      <c r="N39" s="144"/>
      <c r="O39" s="160"/>
    </row>
    <row r="40" spans="1:15">
      <c r="A40" s="64">
        <v>30</v>
      </c>
      <c r="B40" s="160">
        <f t="shared" si="2"/>
        <v>40000</v>
      </c>
      <c r="C40" s="103">
        <f t="shared" si="3"/>
        <v>26845.43394038215</v>
      </c>
      <c r="D40" s="103">
        <f t="shared" si="0"/>
        <v>26845.43394038215</v>
      </c>
      <c r="E40" s="103">
        <v>0</v>
      </c>
      <c r="F40" s="103">
        <f t="shared" si="4"/>
        <v>85.581629630287708</v>
      </c>
      <c r="G40" s="103">
        <f t="shared" si="5"/>
        <v>66.787681650856086</v>
      </c>
      <c r="H40" s="103">
        <f t="shared" si="6"/>
        <v>66.787681650856086</v>
      </c>
      <c r="I40" s="144">
        <f t="shared" si="1"/>
        <v>13154.566059617851</v>
      </c>
      <c r="J40" s="144">
        <f t="shared" si="7"/>
        <v>13154.566059617851</v>
      </c>
      <c r="K40" s="144"/>
      <c r="L40" s="144"/>
      <c r="M40" s="144"/>
      <c r="N40" s="144"/>
      <c r="O40" s="160"/>
    </row>
    <row r="41" spans="1:15">
      <c r="A41" s="64">
        <v>31</v>
      </c>
      <c r="B41" s="160">
        <f t="shared" si="2"/>
        <v>40000</v>
      </c>
      <c r="C41" s="103">
        <f t="shared" si="3"/>
        <v>26642.463669828783</v>
      </c>
      <c r="D41" s="103">
        <f t="shared" si="0"/>
        <v>26642.463669828783</v>
      </c>
      <c r="E41" s="103">
        <v>0</v>
      </c>
      <c r="F41" s="103">
        <f t="shared" si="4"/>
        <v>87.396711834427038</v>
      </c>
      <c r="G41" s="103">
        <f t="shared" si="5"/>
        <v>67.757978553989247</v>
      </c>
      <c r="H41" s="103">
        <f t="shared" si="6"/>
        <v>67.757978553989247</v>
      </c>
      <c r="I41" s="144">
        <f t="shared" si="1"/>
        <v>13357.536330171217</v>
      </c>
      <c r="J41" s="144">
        <f t="shared" si="7"/>
        <v>13357.536330171217</v>
      </c>
      <c r="K41" s="144"/>
      <c r="L41" s="144"/>
      <c r="M41" s="144"/>
      <c r="N41" s="144"/>
      <c r="O41" s="160"/>
    </row>
    <row r="42" spans="1:15">
      <c r="A42" s="64">
        <v>32</v>
      </c>
      <c r="B42" s="160">
        <f t="shared" si="2"/>
        <v>40000</v>
      </c>
      <c r="C42" s="103">
        <f t="shared" si="3"/>
        <v>26448.40428920215</v>
      </c>
      <c r="D42" s="103">
        <f t="shared" ref="D42:D73" si="8">B42-I42</f>
        <v>26448.40428920215</v>
      </c>
      <c r="E42" s="103">
        <v>0</v>
      </c>
      <c r="F42" s="103">
        <f t="shared" si="4"/>
        <v>89.167523740904429</v>
      </c>
      <c r="G42" s="103">
        <f t="shared" si="5"/>
        <v>68.685677056497042</v>
      </c>
      <c r="H42" s="103">
        <f t="shared" si="6"/>
        <v>68.685677056497042</v>
      </c>
      <c r="I42" s="144">
        <f t="shared" ref="I42:I74" si="9">$O$5*G41</f>
        <v>13551.59571079785</v>
      </c>
      <c r="J42" s="144">
        <f t="shared" si="7"/>
        <v>13551.59571079785</v>
      </c>
      <c r="K42" s="144"/>
      <c r="L42" s="144"/>
      <c r="M42" s="144"/>
      <c r="N42" s="144"/>
      <c r="O42" s="160"/>
    </row>
    <row r="43" spans="1:15">
      <c r="A43" s="64">
        <v>33</v>
      </c>
      <c r="B43" s="160">
        <f t="shared" si="2"/>
        <v>40000</v>
      </c>
      <c r="C43" s="103">
        <f t="shared" si="3"/>
        <v>26262.864588700591</v>
      </c>
      <c r="D43" s="103">
        <f t="shared" si="8"/>
        <v>26262.864588700591</v>
      </c>
      <c r="E43" s="103">
        <v>0</v>
      </c>
      <c r="F43" s="103">
        <f t="shared" si="4"/>
        <v>90.895145113077504</v>
      </c>
      <c r="G43" s="103">
        <f t="shared" si="5"/>
        <v>69.572647332065472</v>
      </c>
      <c r="H43" s="103">
        <f t="shared" si="6"/>
        <v>69.572647332065472</v>
      </c>
      <c r="I43" s="144">
        <f t="shared" si="9"/>
        <v>13737.135411299409</v>
      </c>
      <c r="J43" s="144">
        <f t="shared" si="7"/>
        <v>13737.135411299409</v>
      </c>
      <c r="K43" s="144"/>
      <c r="L43" s="144"/>
      <c r="M43" s="144"/>
      <c r="N43" s="144"/>
      <c r="O43" s="160"/>
    </row>
    <row r="44" spans="1:15">
      <c r="A44" s="64">
        <v>34</v>
      </c>
      <c r="B44" s="160">
        <f t="shared" si="2"/>
        <v>40000</v>
      </c>
      <c r="C44" s="103">
        <f t="shared" si="3"/>
        <v>26085.470533586908</v>
      </c>
      <c r="D44" s="103">
        <f t="shared" si="8"/>
        <v>26085.470533586908</v>
      </c>
      <c r="E44" s="103">
        <v>0</v>
      </c>
      <c r="F44" s="103">
        <f t="shared" si="4"/>
        <v>92.580629378612201</v>
      </c>
      <c r="G44" s="103">
        <f t="shared" si="5"/>
        <v>70.420677449194315</v>
      </c>
      <c r="H44" s="103">
        <f t="shared" si="6"/>
        <v>70.420677449194315</v>
      </c>
      <c r="I44" s="144">
        <f t="shared" si="9"/>
        <v>13914.529466413094</v>
      </c>
      <c r="J44" s="144">
        <f t="shared" si="7"/>
        <v>13914.529466413094</v>
      </c>
      <c r="K44" s="144"/>
      <c r="L44" s="144"/>
      <c r="M44" s="144"/>
      <c r="N44" s="144"/>
      <c r="O44" s="160"/>
    </row>
    <row r="45" spans="1:15">
      <c r="A45" s="64">
        <v>35</v>
      </c>
      <c r="B45" s="160">
        <f t="shared" si="2"/>
        <v>40000</v>
      </c>
      <c r="C45" s="103">
        <f t="shared" si="3"/>
        <v>25915.864510161136</v>
      </c>
      <c r="D45" s="103">
        <f t="shared" si="8"/>
        <v>25915.864510161136</v>
      </c>
      <c r="E45" s="103">
        <v>0</v>
      </c>
      <c r="F45" s="103">
        <f t="shared" si="4"/>
        <v>94.225004271816786</v>
      </c>
      <c r="G45" s="103">
        <f t="shared" si="5"/>
        <v>71.231476975815056</v>
      </c>
      <c r="H45" s="103">
        <f t="shared" si="6"/>
        <v>71.231476975815056</v>
      </c>
      <c r="I45" s="144">
        <f t="shared" si="9"/>
        <v>14084.135489838864</v>
      </c>
      <c r="J45" s="144">
        <f t="shared" si="7"/>
        <v>14084.135489838864</v>
      </c>
      <c r="K45" s="144"/>
      <c r="L45" s="144"/>
      <c r="M45" s="144"/>
      <c r="N45" s="144"/>
      <c r="O45" s="160"/>
    </row>
    <row r="46" spans="1:15">
      <c r="A46" s="64">
        <v>36</v>
      </c>
      <c r="B46" s="160">
        <f t="shared" si="2"/>
        <v>40000</v>
      </c>
      <c r="C46" s="103">
        <f t="shared" si="3"/>
        <v>25753.704604836988</v>
      </c>
      <c r="D46" s="103">
        <f t="shared" si="8"/>
        <v>25753.704604836988</v>
      </c>
      <c r="E46" s="103">
        <v>0</v>
      </c>
      <c r="F46" s="103">
        <f t="shared" si="4"/>
        <v>95.82927246030907</v>
      </c>
      <c r="G46" s="103">
        <f t="shared" si="5"/>
        <v>72.006680425657322</v>
      </c>
      <c r="H46" s="103">
        <f t="shared" si="6"/>
        <v>72.006680425657322</v>
      </c>
      <c r="I46" s="144">
        <f t="shared" si="9"/>
        <v>14246.295395163012</v>
      </c>
      <c r="J46" s="144">
        <f t="shared" si="7"/>
        <v>14246.295395163012</v>
      </c>
      <c r="K46" s="144"/>
      <c r="L46" s="144"/>
      <c r="M46" s="144"/>
      <c r="N46" s="144"/>
      <c r="O46" s="160"/>
    </row>
    <row r="47" spans="1:15">
      <c r="A47" s="64">
        <v>37</v>
      </c>
      <c r="B47" s="160">
        <f t="shared" si="2"/>
        <v>40000</v>
      </c>
      <c r="C47" s="103">
        <f t="shared" si="3"/>
        <v>25598.663914868535</v>
      </c>
      <c r="D47" s="103">
        <f t="shared" si="8"/>
        <v>25598.663914868535</v>
      </c>
      <c r="E47" s="103">
        <v>0</v>
      </c>
      <c r="F47" s="103">
        <f t="shared" si="4"/>
        <v>97.394412156399099</v>
      </c>
      <c r="G47" s="103">
        <f t="shared" si="5"/>
        <v>72.747850553311395</v>
      </c>
      <c r="H47" s="103">
        <f t="shared" si="6"/>
        <v>72.747850553311395</v>
      </c>
      <c r="I47" s="144">
        <f t="shared" si="9"/>
        <v>14401.336085131465</v>
      </c>
      <c r="J47" s="144">
        <f t="shared" si="7"/>
        <v>14401.336085131465</v>
      </c>
      <c r="K47" s="144"/>
      <c r="L47" s="144"/>
      <c r="M47" s="144"/>
      <c r="N47" s="144"/>
      <c r="O47" s="160"/>
    </row>
    <row r="48" spans="1:15">
      <c r="A48" s="64">
        <v>38</v>
      </c>
      <c r="B48" s="160">
        <f t="shared" si="2"/>
        <v>40000</v>
      </c>
      <c r="C48" s="103">
        <f t="shared" si="3"/>
        <v>25450.42988933772</v>
      </c>
      <c r="D48" s="103">
        <f t="shared" si="8"/>
        <v>25450.42988933772</v>
      </c>
      <c r="E48" s="103">
        <v>0</v>
      </c>
      <c r="F48" s="103">
        <f t="shared" si="4"/>
        <v>98.921377713560105</v>
      </c>
      <c r="G48" s="103">
        <f t="shared" si="5"/>
        <v>73.456481504629437</v>
      </c>
      <c r="H48" s="103">
        <f t="shared" si="6"/>
        <v>73.456481504629437</v>
      </c>
      <c r="I48" s="144">
        <f t="shared" si="9"/>
        <v>14549.570110662278</v>
      </c>
      <c r="J48" s="144">
        <f t="shared" si="7"/>
        <v>14549.570110662278</v>
      </c>
      <c r="K48" s="144"/>
      <c r="L48" s="144"/>
      <c r="M48" s="144"/>
      <c r="N48" s="144"/>
      <c r="O48" s="160"/>
    </row>
    <row r="49" spans="1:15">
      <c r="A49" s="64">
        <v>39</v>
      </c>
      <c r="B49" s="160">
        <f t="shared" si="2"/>
        <v>40000</v>
      </c>
      <c r="C49" s="103">
        <f t="shared" si="3"/>
        <v>25308.703699074111</v>
      </c>
      <c r="D49" s="103">
        <f t="shared" si="8"/>
        <v>25308.703699074111</v>
      </c>
      <c r="E49" s="103">
        <v>0</v>
      </c>
      <c r="F49" s="103">
        <f t="shared" si="4"/>
        <v>100.41110020835133</v>
      </c>
      <c r="G49" s="103">
        <f t="shared" si="5"/>
        <v>74.134001828816437</v>
      </c>
      <c r="H49" s="103">
        <f t="shared" si="6"/>
        <v>74.134001828816437</v>
      </c>
      <c r="I49" s="144">
        <f t="shared" si="9"/>
        <v>14691.296300925887</v>
      </c>
      <c r="J49" s="144">
        <f t="shared" si="7"/>
        <v>14691.296300925887</v>
      </c>
      <c r="K49" s="144"/>
      <c r="L49" s="144"/>
      <c r="M49" s="144"/>
      <c r="N49" s="144"/>
      <c r="O49" s="160"/>
    </row>
    <row r="50" spans="1:15">
      <c r="A50" s="64">
        <v>40</v>
      </c>
      <c r="B50" s="160">
        <f t="shared" si="2"/>
        <v>40000</v>
      </c>
      <c r="C50" s="103">
        <f t="shared" si="3"/>
        <v>25173.199634236713</v>
      </c>
      <c r="D50" s="103">
        <f t="shared" si="8"/>
        <v>25173.199634236713</v>
      </c>
      <c r="E50" s="103">
        <v>0</v>
      </c>
      <c r="F50" s="103">
        <f t="shared" si="4"/>
        <v>101.86448800814765</v>
      </c>
      <c r="G50" s="103">
        <f t="shared" si="5"/>
        <v>74.781777358283037</v>
      </c>
      <c r="H50" s="103">
        <f t="shared" si="6"/>
        <v>74.781777358283037</v>
      </c>
      <c r="I50" s="144">
        <f t="shared" si="9"/>
        <v>14826.800365763287</v>
      </c>
      <c r="J50" s="144">
        <f t="shared" si="7"/>
        <v>14826.800365763287</v>
      </c>
      <c r="K50" s="144"/>
      <c r="L50" s="144"/>
      <c r="M50" s="144"/>
      <c r="N50" s="144"/>
      <c r="O50" s="160"/>
    </row>
    <row r="51" spans="1:15">
      <c r="A51" s="64">
        <v>41</v>
      </c>
      <c r="B51" s="160">
        <f t="shared" si="2"/>
        <v>40000</v>
      </c>
      <c r="C51" s="103">
        <f t="shared" si="3"/>
        <v>25043.644528343393</v>
      </c>
      <c r="D51" s="103">
        <f t="shared" si="8"/>
        <v>25043.644528343393</v>
      </c>
      <c r="E51" s="103">
        <v>0</v>
      </c>
      <c r="F51" s="103">
        <f t="shared" si="4"/>
        <v>103.2824273250221</v>
      </c>
      <c r="G51" s="103">
        <f t="shared" si="5"/>
        <v>75.401113962065736</v>
      </c>
      <c r="H51" s="103">
        <f t="shared" si="6"/>
        <v>75.401113962065736</v>
      </c>
      <c r="I51" s="144">
        <f t="shared" si="9"/>
        <v>14956.355471656607</v>
      </c>
      <c r="J51" s="144">
        <f t="shared" si="7"/>
        <v>14956.355471656607</v>
      </c>
      <c r="K51" s="144"/>
      <c r="L51" s="144"/>
      <c r="M51" s="144"/>
      <c r="N51" s="144"/>
      <c r="O51" s="160"/>
    </row>
    <row r="52" spans="1:15">
      <c r="A52" s="64">
        <v>42</v>
      </c>
      <c r="B52" s="160">
        <f t="shared" si="2"/>
        <v>40000</v>
      </c>
      <c r="C52" s="103">
        <f t="shared" si="3"/>
        <v>24919.777207586852</v>
      </c>
      <c r="D52" s="103">
        <f t="shared" si="8"/>
        <v>24919.777207586852</v>
      </c>
      <c r="E52" s="103">
        <v>0</v>
      </c>
      <c r="F52" s="103">
        <f t="shared" si="4"/>
        <v>104.66578275611913</v>
      </c>
      <c r="G52" s="103">
        <f t="shared" si="5"/>
        <v>75.99326017836529</v>
      </c>
      <c r="H52" s="103">
        <f t="shared" si="6"/>
        <v>75.99326017836529</v>
      </c>
      <c r="I52" s="144">
        <f t="shared" si="9"/>
        <v>15080.222792413148</v>
      </c>
      <c r="J52" s="144">
        <f t="shared" si="7"/>
        <v>15080.222792413148</v>
      </c>
      <c r="K52" s="144"/>
      <c r="L52" s="144"/>
      <c r="M52" s="144"/>
      <c r="N52" s="144"/>
      <c r="O52" s="160"/>
    </row>
    <row r="53" spans="1:15">
      <c r="A53" s="64">
        <v>43</v>
      </c>
      <c r="B53" s="160">
        <f t="shared" si="2"/>
        <v>40000</v>
      </c>
      <c r="C53" s="103">
        <f t="shared" si="3"/>
        <v>24801.347964326942</v>
      </c>
      <c r="D53" s="103">
        <f t="shared" si="8"/>
        <v>24801.347964326942</v>
      </c>
      <c r="E53" s="103">
        <v>0</v>
      </c>
      <c r="F53" s="103">
        <f t="shared" si="4"/>
        <v>106.01539781084794</v>
      </c>
      <c r="G53" s="103">
        <f t="shared" si="5"/>
        <v>76.559409731510229</v>
      </c>
      <c r="H53" s="103">
        <f t="shared" si="6"/>
        <v>76.559409731510229</v>
      </c>
      <c r="I53" s="144">
        <f t="shared" si="9"/>
        <v>15198.652035673058</v>
      </c>
      <c r="J53" s="144">
        <f t="shared" si="7"/>
        <v>15198.652035673058</v>
      </c>
      <c r="K53" s="144"/>
      <c r="L53" s="144"/>
      <c r="M53" s="144"/>
      <c r="N53" s="144"/>
      <c r="O53" s="160"/>
    </row>
    <row r="54" spans="1:15">
      <c r="A54" s="64">
        <v>44</v>
      </c>
      <c r="B54" s="160">
        <f t="shared" si="2"/>
        <v>40000</v>
      </c>
      <c r="C54" s="103">
        <f t="shared" si="3"/>
        <v>24688.118053697952</v>
      </c>
      <c r="D54" s="103">
        <f t="shared" si="8"/>
        <v>24688.118053697952</v>
      </c>
      <c r="E54" s="103">
        <v>0</v>
      </c>
      <c r="F54" s="103">
        <f t="shared" si="4"/>
        <v>107.33209542521752</v>
      </c>
      <c r="G54" s="103">
        <f t="shared" si="5"/>
        <v>77.100703938419542</v>
      </c>
      <c r="H54" s="103">
        <f t="shared" si="6"/>
        <v>77.100703938419542</v>
      </c>
      <c r="I54" s="144">
        <f t="shared" si="9"/>
        <v>15311.881946302046</v>
      </c>
      <c r="J54" s="144">
        <f t="shared" si="7"/>
        <v>15311.881946302046</v>
      </c>
      <c r="K54" s="144"/>
      <c r="L54" s="144"/>
      <c r="M54" s="144"/>
      <c r="N54" s="144"/>
      <c r="O54" s="160"/>
    </row>
    <row r="55" spans="1:15">
      <c r="A55" s="64">
        <v>45</v>
      </c>
      <c r="B55" s="160">
        <f t="shared" si="2"/>
        <v>40000</v>
      </c>
      <c r="C55" s="103">
        <f t="shared" si="3"/>
        <v>24579.859212316092</v>
      </c>
      <c r="D55" s="103">
        <f t="shared" si="8"/>
        <v>24579.859212316092</v>
      </c>
      <c r="E55" s="103">
        <v>0</v>
      </c>
      <c r="F55" s="103">
        <f t="shared" si="4"/>
        <v>108.61667846362685</v>
      </c>
      <c r="G55" s="103">
        <f t="shared" si="5"/>
        <v>77.618234009415772</v>
      </c>
      <c r="H55" s="103">
        <f t="shared" si="6"/>
        <v>77.618234009415772</v>
      </c>
      <c r="I55" s="144">
        <f t="shared" si="9"/>
        <v>15420.140787683908</v>
      </c>
      <c r="J55" s="144">
        <f t="shared" si="7"/>
        <v>15420.140787683908</v>
      </c>
      <c r="K55" s="144"/>
      <c r="L55" s="144"/>
      <c r="M55" s="144"/>
      <c r="N55" s="144"/>
      <c r="O55" s="160"/>
    </row>
    <row r="56" spans="1:15">
      <c r="A56" s="64">
        <v>46</v>
      </c>
      <c r="B56" s="160">
        <f t="shared" si="2"/>
        <v>40000</v>
      </c>
      <c r="C56" s="103">
        <f t="shared" si="3"/>
        <v>24476.353198116845</v>
      </c>
      <c r="D56" s="103">
        <f t="shared" si="8"/>
        <v>24476.353198116845</v>
      </c>
      <c r="E56" s="103">
        <v>0</v>
      </c>
      <c r="F56" s="103">
        <f t="shared" si="4"/>
        <v>109.86993020841645</v>
      </c>
      <c r="G56" s="103">
        <f t="shared" si="5"/>
        <v>78.113043248026784</v>
      </c>
      <c r="H56" s="103">
        <f t="shared" si="6"/>
        <v>78.113043248026784</v>
      </c>
      <c r="I56" s="144">
        <f t="shared" si="9"/>
        <v>15523.646801883155</v>
      </c>
      <c r="J56" s="144">
        <f t="shared" si="7"/>
        <v>15523.646801883155</v>
      </c>
      <c r="K56" s="144"/>
      <c r="L56" s="144"/>
      <c r="M56" s="144"/>
      <c r="N56" s="144"/>
      <c r="O56" s="160"/>
    </row>
    <row r="57" spans="1:15">
      <c r="A57" s="64">
        <v>47</v>
      </c>
      <c r="B57" s="160">
        <f t="shared" si="2"/>
        <v>40000</v>
      </c>
      <c r="C57" s="103">
        <f t="shared" si="3"/>
        <v>24377.391350394642</v>
      </c>
      <c r="D57" s="103">
        <f t="shared" si="8"/>
        <v>24377.391350394642</v>
      </c>
      <c r="E57" s="103">
        <v>0</v>
      </c>
      <c r="F57" s="103">
        <f t="shared" si="4"/>
        <v>111.09261483747947</v>
      </c>
      <c r="G57" s="103">
        <f t="shared" si="5"/>
        <v>78.58612915421098</v>
      </c>
      <c r="H57" s="103">
        <f t="shared" si="6"/>
        <v>78.58612915421098</v>
      </c>
      <c r="I57" s="144">
        <f t="shared" si="9"/>
        <v>15622.608649605358</v>
      </c>
      <c r="J57" s="144">
        <f t="shared" si="7"/>
        <v>15622.608649605358</v>
      </c>
      <c r="K57" s="144"/>
      <c r="L57" s="144"/>
      <c r="M57" s="144"/>
      <c r="N57" s="144"/>
      <c r="O57" s="160"/>
    </row>
    <row r="58" spans="1:15">
      <c r="A58" s="64">
        <v>48</v>
      </c>
      <c r="B58" s="160">
        <f t="shared" si="2"/>
        <v>40000</v>
      </c>
      <c r="C58" s="103">
        <f t="shared" si="3"/>
        <v>24282.774169157805</v>
      </c>
      <c r="D58" s="103">
        <f t="shared" si="8"/>
        <v>24282.774169157805</v>
      </c>
      <c r="E58" s="103">
        <v>0</v>
      </c>
      <c r="F58" s="103">
        <f t="shared" si="4"/>
        <v>112.28547789022389</v>
      </c>
      <c r="G58" s="103">
        <f t="shared" si="5"/>
        <v>79.03844543524562</v>
      </c>
      <c r="H58" s="103">
        <f t="shared" si="6"/>
        <v>79.03844543524562</v>
      </c>
      <c r="I58" s="144">
        <f t="shared" si="9"/>
        <v>15717.225830842195</v>
      </c>
      <c r="J58" s="144">
        <f t="shared" si="7"/>
        <v>15717.225830842195</v>
      </c>
      <c r="K58" s="144"/>
      <c r="L58" s="144"/>
      <c r="M58" s="144"/>
      <c r="N58" s="144"/>
      <c r="O58" s="160"/>
    </row>
    <row r="59" spans="1:15">
      <c r="A59" s="64">
        <v>49</v>
      </c>
      <c r="B59" s="160">
        <f t="shared" si="2"/>
        <v>40000</v>
      </c>
      <c r="C59" s="103">
        <f t="shared" si="3"/>
        <v>24192.310912950874</v>
      </c>
      <c r="D59" s="103">
        <f t="shared" si="8"/>
        <v>24192.310912950874</v>
      </c>
      <c r="E59" s="103">
        <v>0</v>
      </c>
      <c r="F59" s="103">
        <f t="shared" si="4"/>
        <v>113.44924672216966</v>
      </c>
      <c r="G59" s="103">
        <f t="shared" si="5"/>
        <v>79.470903928332405</v>
      </c>
      <c r="H59" s="103">
        <f t="shared" si="6"/>
        <v>79.470903928332405</v>
      </c>
      <c r="I59" s="144">
        <f t="shared" si="9"/>
        <v>15807.689087049124</v>
      </c>
      <c r="J59" s="144">
        <f t="shared" si="7"/>
        <v>15807.689087049124</v>
      </c>
      <c r="K59" s="144"/>
      <c r="L59" s="144"/>
      <c r="M59" s="144"/>
      <c r="N59" s="144"/>
      <c r="O59" s="160"/>
    </row>
    <row r="60" spans="1:15">
      <c r="A60" s="64">
        <v>50</v>
      </c>
      <c r="B60" s="160">
        <f t="shared" si="2"/>
        <v>40000</v>
      </c>
      <c r="C60" s="103">
        <f t="shared" si="3"/>
        <v>24105.819214333518</v>
      </c>
      <c r="D60" s="103">
        <f t="shared" si="8"/>
        <v>24105.819214333518</v>
      </c>
      <c r="E60" s="103">
        <v>0</v>
      </c>
      <c r="F60" s="103">
        <f t="shared" si="4"/>
        <v>114.58463094845821</v>
      </c>
      <c r="G60" s="103">
        <f t="shared" si="5"/>
        <v>79.884376438795869</v>
      </c>
      <c r="H60" s="103">
        <f t="shared" si="6"/>
        <v>79.884376438795869</v>
      </c>
      <c r="I60" s="144">
        <f t="shared" si="9"/>
        <v>15894.180785666482</v>
      </c>
      <c r="J60" s="144">
        <f t="shared" si="7"/>
        <v>15894.180785666482</v>
      </c>
      <c r="K60" s="144"/>
      <c r="L60" s="144"/>
      <c r="M60" s="144"/>
      <c r="N60" s="144"/>
      <c r="O60" s="160"/>
    </row>
    <row r="61" spans="1:15">
      <c r="A61" s="64">
        <v>51</v>
      </c>
      <c r="B61" s="160">
        <f t="shared" si="2"/>
        <v>40000</v>
      </c>
      <c r="C61" s="103">
        <f t="shared" si="3"/>
        <v>24023.124712240824</v>
      </c>
      <c r="D61" s="103">
        <f t="shared" si="8"/>
        <v>24023.124712240824</v>
      </c>
      <c r="E61" s="103">
        <v>0</v>
      </c>
      <c r="F61" s="103">
        <f t="shared" si="4"/>
        <v>115.69232287654461</v>
      </c>
      <c r="G61" s="103">
        <f t="shared" si="5"/>
        <v>80.279696497580446</v>
      </c>
      <c r="H61" s="103">
        <f t="shared" si="6"/>
        <v>80.279696497580446</v>
      </c>
      <c r="I61" s="144">
        <f t="shared" si="9"/>
        <v>15976.875287759174</v>
      </c>
      <c r="J61" s="144">
        <f t="shared" si="7"/>
        <v>15976.875287759174</v>
      </c>
      <c r="K61" s="144"/>
      <c r="L61" s="144"/>
      <c r="M61" s="144"/>
      <c r="N61" s="144"/>
      <c r="O61" s="160"/>
    </row>
    <row r="62" spans="1:15">
      <c r="A62" s="64">
        <v>52</v>
      </c>
      <c r="B62" s="160">
        <f t="shared" si="2"/>
        <v>40000</v>
      </c>
      <c r="C62" s="103">
        <f t="shared" si="3"/>
        <v>23944.060700483911</v>
      </c>
      <c r="D62" s="103">
        <f t="shared" si="8"/>
        <v>23944.060700483911</v>
      </c>
      <c r="E62" s="103">
        <v>0</v>
      </c>
      <c r="F62" s="103">
        <f t="shared" si="4"/>
        <v>116.77299792833621</v>
      </c>
      <c r="G62" s="103">
        <f t="shared" si="5"/>
        <v>80.657661041589122</v>
      </c>
      <c r="H62" s="103">
        <f t="shared" si="6"/>
        <v>80.657661041589122</v>
      </c>
      <c r="I62" s="144">
        <f t="shared" si="9"/>
        <v>16055.939299516089</v>
      </c>
      <c r="J62" s="144">
        <f t="shared" si="7"/>
        <v>16055.939299516089</v>
      </c>
      <c r="K62" s="144"/>
      <c r="L62" s="144"/>
      <c r="M62" s="144"/>
      <c r="N62" s="144"/>
      <c r="O62" s="160"/>
    </row>
    <row r="63" spans="1:15">
      <c r="A63" s="64">
        <v>53</v>
      </c>
      <c r="B63" s="160">
        <f t="shared" si="2"/>
        <v>40000</v>
      </c>
      <c r="C63" s="103">
        <f t="shared" si="3"/>
        <v>23868.467791682175</v>
      </c>
      <c r="D63" s="103">
        <f t="shared" si="8"/>
        <v>23868.467791682175</v>
      </c>
      <c r="E63" s="103">
        <v>0</v>
      </c>
      <c r="F63" s="103">
        <f t="shared" si="4"/>
        <v>117.82731505203533</v>
      </c>
      <c r="G63" s="103">
        <f t="shared" si="5"/>
        <v>81.019032020251075</v>
      </c>
      <c r="H63" s="103">
        <f t="shared" si="6"/>
        <v>81.019032020251075</v>
      </c>
      <c r="I63" s="144">
        <f t="shared" si="9"/>
        <v>16131.532208317825</v>
      </c>
      <c r="J63" s="144">
        <f t="shared" si="7"/>
        <v>16131.532208317825</v>
      </c>
      <c r="K63" s="144"/>
      <c r="L63" s="144"/>
      <c r="M63" s="144"/>
      <c r="N63" s="144"/>
      <c r="O63" s="160"/>
    </row>
    <row r="64" spans="1:15">
      <c r="A64" s="64">
        <v>54</v>
      </c>
      <c r="B64" s="160">
        <f t="shared" si="2"/>
        <v>40000</v>
      </c>
      <c r="C64" s="103">
        <f t="shared" si="3"/>
        <v>23796.193595949786</v>
      </c>
      <c r="D64" s="103">
        <f t="shared" si="8"/>
        <v>23796.193595949786</v>
      </c>
      <c r="E64" s="103">
        <v>0</v>
      </c>
      <c r="F64" s="103">
        <f t="shared" si="4"/>
        <v>118.85591712393692</v>
      </c>
      <c r="G64" s="103">
        <f t="shared" si="5"/>
        <v>81.364537931557138</v>
      </c>
      <c r="H64" s="103">
        <f t="shared" si="6"/>
        <v>81.364537931557138</v>
      </c>
      <c r="I64" s="144">
        <f t="shared" si="9"/>
        <v>16203.806404050214</v>
      </c>
      <c r="J64" s="144">
        <f t="shared" si="7"/>
        <v>16203.806404050214</v>
      </c>
      <c r="K64" s="144"/>
      <c r="L64" s="144"/>
      <c r="M64" s="144"/>
      <c r="N64" s="144"/>
      <c r="O64" s="160"/>
    </row>
    <row r="65" spans="1:15">
      <c r="A65" s="64">
        <v>55</v>
      </c>
      <c r="B65" s="160">
        <f t="shared" si="2"/>
        <v>40000</v>
      </c>
      <c r="C65" s="103">
        <f t="shared" si="3"/>
        <v>23727.092413688573</v>
      </c>
      <c r="D65" s="103">
        <f t="shared" si="8"/>
        <v>23727.092413688573</v>
      </c>
      <c r="E65" s="103">
        <v>0</v>
      </c>
      <c r="F65" s="103">
        <f t="shared" si="4"/>
        <v>119.85943134042627</v>
      </c>
      <c r="G65" s="103">
        <f t="shared" si="5"/>
        <v>81.69487529065951</v>
      </c>
      <c r="H65" s="103">
        <f t="shared" si="6"/>
        <v>81.69487529065951</v>
      </c>
      <c r="I65" s="144">
        <f t="shared" si="9"/>
        <v>16272.907586311427</v>
      </c>
      <c r="J65" s="144">
        <f t="shared" si="7"/>
        <v>16272.907586311427</v>
      </c>
      <c r="K65" s="144"/>
      <c r="L65" s="144"/>
      <c r="M65" s="144"/>
      <c r="N65" s="144"/>
      <c r="O65" s="160"/>
    </row>
    <row r="66" spans="1:15">
      <c r="A66" s="64">
        <v>56</v>
      </c>
      <c r="B66" s="160">
        <f t="shared" si="2"/>
        <v>40000</v>
      </c>
      <c r="C66" s="103">
        <f t="shared" si="3"/>
        <v>23661.024941868098</v>
      </c>
      <c r="D66" s="103">
        <f t="shared" si="8"/>
        <v>23661.024941868098</v>
      </c>
      <c r="E66" s="103">
        <v>0</v>
      </c>
      <c r="F66" s="103">
        <f t="shared" si="4"/>
        <v>120.83846960041588</v>
      </c>
      <c r="G66" s="103">
        <f t="shared" si="5"/>
        <v>82.010710033996418</v>
      </c>
      <c r="H66" s="103">
        <f t="shared" si="6"/>
        <v>82.010710033996418</v>
      </c>
      <c r="I66" s="144">
        <f t="shared" si="9"/>
        <v>16338.975058131902</v>
      </c>
      <c r="J66" s="144">
        <f t="shared" si="7"/>
        <v>16338.975058131902</v>
      </c>
      <c r="K66" s="144"/>
      <c r="L66" s="144"/>
      <c r="M66" s="144"/>
      <c r="N66" s="144"/>
      <c r="O66" s="160"/>
    </row>
    <row r="67" spans="1:15">
      <c r="A67" s="64">
        <v>57</v>
      </c>
      <c r="B67" s="160">
        <f t="shared" si="2"/>
        <v>40000</v>
      </c>
      <c r="C67" s="103">
        <f t="shared" si="3"/>
        <v>23597.857993200716</v>
      </c>
      <c r="D67" s="103">
        <f t="shared" si="8"/>
        <v>23597.857993200716</v>
      </c>
      <c r="E67" s="103">
        <v>0</v>
      </c>
      <c r="F67" s="103">
        <f t="shared" si="4"/>
        <v>121.79362887845453</v>
      </c>
      <c r="G67" s="103">
        <f t="shared" si="5"/>
        <v>82.312678861772184</v>
      </c>
      <c r="H67" s="103">
        <f t="shared" si="6"/>
        <v>82.312678861772184</v>
      </c>
      <c r="I67" s="144">
        <f t="shared" si="9"/>
        <v>16402.142006799284</v>
      </c>
      <c r="J67" s="144">
        <f t="shared" si="7"/>
        <v>16402.142006799284</v>
      </c>
      <c r="K67" s="144"/>
      <c r="L67" s="144"/>
      <c r="M67" s="144"/>
      <c r="N67" s="144"/>
      <c r="O67" s="160"/>
    </row>
    <row r="68" spans="1:15">
      <c r="A68" s="64">
        <v>58</v>
      </c>
      <c r="B68" s="160">
        <f t="shared" si="2"/>
        <v>40000</v>
      </c>
      <c r="C68" s="103">
        <f t="shared" si="3"/>
        <v>23537.464227645563</v>
      </c>
      <c r="D68" s="103">
        <f t="shared" si="8"/>
        <v>23537.464227645563</v>
      </c>
      <c r="E68" s="103">
        <v>0</v>
      </c>
      <c r="F68" s="103">
        <f t="shared" si="4"/>
        <v>122.72549158873613</v>
      </c>
      <c r="G68" s="103">
        <f t="shared" si="5"/>
        <v>82.601390521499269</v>
      </c>
      <c r="H68" s="103">
        <f t="shared" si="6"/>
        <v>82.601390521499269</v>
      </c>
      <c r="I68" s="144">
        <f t="shared" si="9"/>
        <v>16462.535772354437</v>
      </c>
      <c r="J68" s="144">
        <f t="shared" si="7"/>
        <v>16462.535772354437</v>
      </c>
      <c r="K68" s="144"/>
      <c r="L68" s="144"/>
      <c r="M68" s="144"/>
      <c r="N68" s="144"/>
      <c r="O68" s="160"/>
    </row>
    <row r="69" spans="1:15">
      <c r="A69" s="64">
        <v>59</v>
      </c>
      <c r="B69" s="160">
        <f t="shared" si="2"/>
        <v>40000</v>
      </c>
      <c r="C69" s="103">
        <f t="shared" si="3"/>
        <v>23479.721895700146</v>
      </c>
      <c r="D69" s="103">
        <f t="shared" si="8"/>
        <v>23479.721895700146</v>
      </c>
      <c r="E69" s="103">
        <v>0</v>
      </c>
      <c r="F69" s="103">
        <f t="shared" si="4"/>
        <v>123.63462594023038</v>
      </c>
      <c r="G69" s="103">
        <f t="shared" si="5"/>
        <v>82.877427035189555</v>
      </c>
      <c r="H69" s="103">
        <f t="shared" si="6"/>
        <v>82.877427035189555</v>
      </c>
      <c r="I69" s="144">
        <f t="shared" si="9"/>
        <v>16520.278104299854</v>
      </c>
      <c r="J69" s="144">
        <f t="shared" si="7"/>
        <v>16520.278104299854</v>
      </c>
      <c r="K69" s="144"/>
      <c r="L69" s="144"/>
      <c r="M69" s="144"/>
      <c r="N69" s="144"/>
      <c r="O69" s="160"/>
    </row>
    <row r="70" spans="1:15">
      <c r="A70" s="64">
        <v>60</v>
      </c>
      <c r="B70" s="160">
        <f t="shared" si="2"/>
        <v>40000</v>
      </c>
      <c r="C70" s="103">
        <f t="shared" si="3"/>
        <v>23424.514592962088</v>
      </c>
      <c r="D70" s="103">
        <f t="shared" si="8"/>
        <v>23424.514592962088</v>
      </c>
      <c r="E70" s="103">
        <v>0</v>
      </c>
      <c r="F70" s="103">
        <f t="shared" si="4"/>
        <v>124.52158628315161</v>
      </c>
      <c r="G70" s="103">
        <f t="shared" si="5"/>
        <v>83.141344872669052</v>
      </c>
      <c r="H70" s="103">
        <f t="shared" si="6"/>
        <v>83.141344872669052</v>
      </c>
      <c r="I70" s="144">
        <f t="shared" si="9"/>
        <v>16575.485407037912</v>
      </c>
      <c r="J70" s="144">
        <f t="shared" si="7"/>
        <v>16575.485407037912</v>
      </c>
      <c r="K70" s="144"/>
      <c r="L70" s="144"/>
      <c r="M70" s="144"/>
      <c r="N70" s="144"/>
      <c r="O70" s="160"/>
    </row>
    <row r="71" spans="1:15">
      <c r="A71" s="64">
        <v>61</v>
      </c>
      <c r="B71" s="160">
        <f t="shared" si="2"/>
        <v>40000</v>
      </c>
      <c r="C71" s="103">
        <f t="shared" si="3"/>
        <v>23371.73102546619</v>
      </c>
      <c r="D71" s="103">
        <f t="shared" si="8"/>
        <v>23371.73102546619</v>
      </c>
      <c r="E71" s="103">
        <v>0</v>
      </c>
      <c r="F71" s="103">
        <f t="shared" si="4"/>
        <v>125.38691344697719</v>
      </c>
      <c r="G71" s="103">
        <f t="shared" si="5"/>
        <v>83.393676073381144</v>
      </c>
      <c r="H71" s="103">
        <f t="shared" si="6"/>
        <v>83.393676073381144</v>
      </c>
      <c r="I71" s="144">
        <f t="shared" si="9"/>
        <v>16628.26897453381</v>
      </c>
      <c r="J71" s="144">
        <f t="shared" si="7"/>
        <v>16628.26897453381</v>
      </c>
      <c r="K71" s="144"/>
      <c r="L71" s="144"/>
      <c r="M71" s="144"/>
      <c r="N71" s="144"/>
      <c r="O71" s="160"/>
    </row>
    <row r="72" spans="1:15">
      <c r="A72" s="64">
        <v>62</v>
      </c>
      <c r="B72" s="160">
        <f t="shared" si="2"/>
        <v>40000</v>
      </c>
      <c r="C72" s="103">
        <f t="shared" si="3"/>
        <v>23321.264785323772</v>
      </c>
      <c r="D72" s="103">
        <f t="shared" si="8"/>
        <v>23321.264785323772</v>
      </c>
      <c r="E72" s="103">
        <v>0</v>
      </c>
      <c r="F72" s="103">
        <f t="shared" si="4"/>
        <v>126.23113507022165</v>
      </c>
      <c r="G72" s="103">
        <f t="shared" si="5"/>
        <v>83.634929318940024</v>
      </c>
      <c r="H72" s="103">
        <f t="shared" si="6"/>
        <v>83.634929318940024</v>
      </c>
      <c r="I72" s="144">
        <f t="shared" si="9"/>
        <v>16678.735214676228</v>
      </c>
      <c r="J72" s="144">
        <f t="shared" si="7"/>
        <v>16678.735214676228</v>
      </c>
      <c r="K72" s="144"/>
      <c r="L72" s="144"/>
      <c r="M72" s="144"/>
      <c r="N72" s="144"/>
      <c r="O72" s="160"/>
    </row>
    <row r="73" spans="1:15">
      <c r="A73" s="64">
        <v>63</v>
      </c>
      <c r="B73" s="160">
        <f t="shared" si="2"/>
        <v>40000</v>
      </c>
      <c r="C73" s="103">
        <f t="shared" si="3"/>
        <v>23273.014136211994</v>
      </c>
      <c r="D73" s="103">
        <f t="shared" si="8"/>
        <v>23273.014136211994</v>
      </c>
      <c r="E73" s="103">
        <v>0</v>
      </c>
      <c r="F73" s="103">
        <f t="shared" si="4"/>
        <v>127.05476592216748</v>
      </c>
      <c r="G73" s="103">
        <f t="shared" si="5"/>
        <v>83.865590958596329</v>
      </c>
      <c r="H73" s="103">
        <f t="shared" si="6"/>
        <v>83.865590958596329</v>
      </c>
      <c r="I73" s="144">
        <f t="shared" si="9"/>
        <v>16726.985863788006</v>
      </c>
      <c r="J73" s="144">
        <f t="shared" si="7"/>
        <v>16726.985863788006</v>
      </c>
      <c r="K73" s="144"/>
      <c r="L73" s="144"/>
      <c r="M73" s="144"/>
      <c r="N73" s="144"/>
      <c r="O73" s="160"/>
    </row>
    <row r="74" spans="1:15">
      <c r="A74" s="64">
        <v>64</v>
      </c>
      <c r="B74" s="160">
        <f t="shared" si="2"/>
        <v>40000</v>
      </c>
      <c r="C74" s="103">
        <f t="shared" si="3"/>
        <v>23226.881808280734</v>
      </c>
      <c r="D74" s="103">
        <f t="shared" ref="D74:D105" si="10">B74-I74</f>
        <v>23226.881808280734</v>
      </c>
      <c r="E74" s="103">
        <v>0</v>
      </c>
      <c r="F74" s="103">
        <f t="shared" si="4"/>
        <v>127.85830821674875</v>
      </c>
      <c r="G74" s="103">
        <f t="shared" si="5"/>
        <v>84.086125989682344</v>
      </c>
      <c r="H74" s="103">
        <f t="shared" si="6"/>
        <v>84.086125989682344</v>
      </c>
      <c r="I74" s="144">
        <f t="shared" si="9"/>
        <v>16773.118191719266</v>
      </c>
      <c r="J74" s="144">
        <f t="shared" si="7"/>
        <v>16773.118191719266</v>
      </c>
      <c r="K74" s="144"/>
      <c r="L74" s="144"/>
      <c r="M74" s="144"/>
      <c r="N74" s="144"/>
      <c r="O74" s="160"/>
    </row>
    <row r="75" spans="1:15">
      <c r="A75" s="64">
        <v>65</v>
      </c>
      <c r="B75" s="160">
        <f t="shared" ref="B75:B138" si="11">$D$2</f>
        <v>40000</v>
      </c>
      <c r="C75" s="103">
        <f t="shared" ref="C75:C138" si="12">B75-J75</f>
        <v>23182.77480206353</v>
      </c>
      <c r="D75" s="103">
        <f t="shared" si="10"/>
        <v>23182.77480206353</v>
      </c>
      <c r="E75" s="103">
        <v>0</v>
      </c>
      <c r="F75" s="103">
        <f t="shared" ref="F75:F138" si="13">($D$2*$D$4/$D$1-E75*$D$4/$D$1+F74)*$J$5</f>
        <v>128.64225191877929</v>
      </c>
      <c r="G75" s="103">
        <f t="shared" ref="G75:G138" si="14">(D75*$D$4/$D$1-E75*$D$4/$D$1+G74)*$J$5</f>
        <v>84.296978995013362</v>
      </c>
      <c r="H75" s="103">
        <f t="shared" ref="H75:H138" si="15">(C75*$D$4/$D$1-E75*$D$4/$D$1+H74)*$J$5</f>
        <v>84.296978995013362</v>
      </c>
      <c r="I75" s="144">
        <f t="shared" ref="I75:I138" si="16">$O$5*G74</f>
        <v>16817.22519793647</v>
      </c>
      <c r="J75" s="144">
        <f t="shared" ref="J75:J138" si="17">$O$5*H74-E75</f>
        <v>16817.22519793647</v>
      </c>
      <c r="K75" s="144"/>
      <c r="L75" s="144"/>
      <c r="M75" s="144"/>
      <c r="N75" s="144"/>
      <c r="O75" s="160"/>
    </row>
    <row r="76" spans="1:15">
      <c r="A76" s="64">
        <v>66</v>
      </c>
      <c r="B76" s="160">
        <f t="shared" si="11"/>
        <v>40000</v>
      </c>
      <c r="C76" s="103">
        <f t="shared" si="12"/>
        <v>23140.604200997328</v>
      </c>
      <c r="D76" s="103">
        <f t="shared" si="10"/>
        <v>23140.604200997328</v>
      </c>
      <c r="E76" s="103">
        <v>0</v>
      </c>
      <c r="F76" s="103">
        <f t="shared" si="13"/>
        <v>129.40707504271151</v>
      </c>
      <c r="G76" s="103">
        <f t="shared" si="14"/>
        <v>84.498575039134735</v>
      </c>
      <c r="H76" s="103">
        <f t="shared" si="15"/>
        <v>84.498575039134735</v>
      </c>
      <c r="I76" s="144">
        <f t="shared" si="16"/>
        <v>16859.395799002672</v>
      </c>
      <c r="J76" s="144">
        <f t="shared" si="17"/>
        <v>16859.395799002672</v>
      </c>
      <c r="K76" s="144"/>
      <c r="L76" s="144"/>
      <c r="M76" s="144"/>
      <c r="N76" s="144"/>
      <c r="O76" s="160"/>
    </row>
    <row r="77" spans="1:15">
      <c r="A77" s="64">
        <v>67</v>
      </c>
      <c r="B77" s="160">
        <f t="shared" si="11"/>
        <v>40000</v>
      </c>
      <c r="C77" s="103">
        <f t="shared" si="12"/>
        <v>23100.284992173052</v>
      </c>
      <c r="D77" s="103">
        <f t="shared" si="10"/>
        <v>23100.284992173052</v>
      </c>
      <c r="E77" s="103">
        <v>0</v>
      </c>
      <c r="F77" s="103">
        <f t="shared" si="13"/>
        <v>130.15324394410879</v>
      </c>
      <c r="G77" s="103">
        <f t="shared" si="14"/>
        <v>84.691320525221514</v>
      </c>
      <c r="H77" s="103">
        <f t="shared" si="15"/>
        <v>84.691320525221514</v>
      </c>
      <c r="I77" s="144">
        <f t="shared" si="16"/>
        <v>16899.715007826948</v>
      </c>
      <c r="J77" s="144">
        <f t="shared" si="17"/>
        <v>16899.715007826948</v>
      </c>
      <c r="K77" s="144"/>
      <c r="L77" s="144"/>
      <c r="M77" s="144"/>
      <c r="N77" s="144"/>
      <c r="O77" s="160"/>
    </row>
    <row r="78" spans="1:15">
      <c r="A78" s="64">
        <v>68</v>
      </c>
      <c r="B78" s="160">
        <f t="shared" si="11"/>
        <v>40000</v>
      </c>
      <c r="C78" s="103">
        <f t="shared" si="12"/>
        <v>23061.735894955698</v>
      </c>
      <c r="D78" s="103">
        <f t="shared" si="10"/>
        <v>23061.735894955698</v>
      </c>
      <c r="E78" s="103">
        <v>0</v>
      </c>
      <c r="F78" s="103">
        <f t="shared" si="13"/>
        <v>130.88121360400859</v>
      </c>
      <c r="G78" s="103">
        <f t="shared" si="14"/>
        <v>84.875604014358146</v>
      </c>
      <c r="H78" s="103">
        <f t="shared" si="15"/>
        <v>84.875604014358146</v>
      </c>
      <c r="I78" s="144">
        <f t="shared" si="16"/>
        <v>16938.264105044302</v>
      </c>
      <c r="J78" s="144">
        <f t="shared" si="17"/>
        <v>16938.264105044302</v>
      </c>
      <c r="K78" s="144"/>
      <c r="L78" s="144"/>
      <c r="M78" s="144"/>
      <c r="N78" s="144"/>
      <c r="O78" s="160"/>
    </row>
    <row r="79" spans="1:15">
      <c r="A79" s="64">
        <v>69</v>
      </c>
      <c r="B79" s="160">
        <f t="shared" si="11"/>
        <v>40000</v>
      </c>
      <c r="C79" s="103">
        <f t="shared" si="12"/>
        <v>23024.879197128372</v>
      </c>
      <c r="D79" s="103">
        <f t="shared" si="10"/>
        <v>23024.879197128372</v>
      </c>
      <c r="E79" s="103">
        <v>0</v>
      </c>
      <c r="F79" s="103">
        <f t="shared" si="13"/>
        <v>131.59142790634985</v>
      </c>
      <c r="G79" s="103">
        <f t="shared" si="14"/>
        <v>85.051797008849746</v>
      </c>
      <c r="H79" s="103">
        <f t="shared" si="15"/>
        <v>85.051797008849746</v>
      </c>
      <c r="I79" s="144">
        <f t="shared" si="16"/>
        <v>16975.120802871628</v>
      </c>
      <c r="J79" s="144">
        <f t="shared" si="17"/>
        <v>16975.120802871628</v>
      </c>
      <c r="K79" s="144"/>
      <c r="L79" s="144"/>
      <c r="M79" s="144"/>
      <c r="N79" s="144"/>
      <c r="O79" s="160"/>
    </row>
    <row r="80" spans="1:15">
      <c r="A80" s="64">
        <v>70</v>
      </c>
      <c r="B80" s="160">
        <f t="shared" si="11"/>
        <v>40000</v>
      </c>
      <c r="C80" s="103">
        <f t="shared" si="12"/>
        <v>22989.640598230049</v>
      </c>
      <c r="D80" s="103">
        <f t="shared" si="10"/>
        <v>22989.640598230049</v>
      </c>
      <c r="E80" s="103">
        <v>0</v>
      </c>
      <c r="F80" s="103">
        <f t="shared" si="13"/>
        <v>132.28431990863402</v>
      </c>
      <c r="G80" s="103">
        <f t="shared" si="14"/>
        <v>85.220254701144157</v>
      </c>
      <c r="H80" s="103">
        <f t="shared" si="15"/>
        <v>85.220254701144157</v>
      </c>
      <c r="I80" s="144">
        <f t="shared" si="16"/>
        <v>17010.359401769951</v>
      </c>
      <c r="J80" s="144">
        <f t="shared" si="17"/>
        <v>17010.359401769951</v>
      </c>
      <c r="K80" s="144"/>
      <c r="L80" s="144"/>
      <c r="M80" s="144"/>
      <c r="N80" s="144"/>
      <c r="O80" s="160"/>
    </row>
    <row r="81" spans="1:15">
      <c r="A81" s="64">
        <v>71</v>
      </c>
      <c r="B81" s="160">
        <f t="shared" si="11"/>
        <v>40000</v>
      </c>
      <c r="C81" s="103">
        <f t="shared" si="12"/>
        <v>22955.94905977117</v>
      </c>
      <c r="D81" s="103">
        <f t="shared" si="10"/>
        <v>22955.94905977117</v>
      </c>
      <c r="E81" s="103">
        <v>0</v>
      </c>
      <c r="F81" s="103">
        <f t="shared" si="13"/>
        <v>132.96031210598443</v>
      </c>
      <c r="G81" s="103">
        <f t="shared" si="14"/>
        <v>85.38131668987441</v>
      </c>
      <c r="H81" s="103">
        <f t="shared" si="15"/>
        <v>85.38131668987441</v>
      </c>
      <c r="I81" s="144">
        <f t="shared" si="16"/>
        <v>17044.05094022883</v>
      </c>
      <c r="J81" s="144">
        <f t="shared" si="17"/>
        <v>17044.05094022883</v>
      </c>
      <c r="K81" s="144"/>
      <c r="L81" s="144"/>
      <c r="M81" s="144"/>
      <c r="N81" s="144"/>
      <c r="O81" s="160"/>
    </row>
    <row r="82" spans="1:15">
      <c r="A82" s="64">
        <v>72</v>
      </c>
      <c r="B82" s="160">
        <f t="shared" si="11"/>
        <v>40000</v>
      </c>
      <c r="C82" s="103">
        <f t="shared" si="12"/>
        <v>22923.73666202512</v>
      </c>
      <c r="D82" s="103">
        <f t="shared" si="10"/>
        <v>22923.73666202512</v>
      </c>
      <c r="E82" s="103">
        <v>0</v>
      </c>
      <c r="F82" s="103">
        <f t="shared" si="13"/>
        <v>133.6198166887653</v>
      </c>
      <c r="G82" s="103">
        <f t="shared" si="14"/>
        <v>85.535307664465293</v>
      </c>
      <c r="H82" s="103">
        <f t="shared" si="15"/>
        <v>85.535307664465293</v>
      </c>
      <c r="I82" s="144">
        <f t="shared" si="16"/>
        <v>17076.26333797488</v>
      </c>
      <c r="J82" s="144">
        <f t="shared" si="17"/>
        <v>17076.26333797488</v>
      </c>
      <c r="K82" s="144"/>
      <c r="L82" s="144"/>
      <c r="M82" s="144"/>
      <c r="N82" s="144"/>
      <c r="O82" s="160"/>
    </row>
    <row r="83" spans="1:15">
      <c r="A83" s="64">
        <v>73</v>
      </c>
      <c r="B83" s="160">
        <f t="shared" si="11"/>
        <v>40000</v>
      </c>
      <c r="C83" s="103">
        <f t="shared" si="12"/>
        <v>22892.938467106942</v>
      </c>
      <c r="D83" s="103">
        <f t="shared" si="10"/>
        <v>22892.938467106942</v>
      </c>
      <c r="E83" s="103">
        <v>0</v>
      </c>
      <c r="F83" s="103">
        <f t="shared" si="13"/>
        <v>134.26323579391737</v>
      </c>
      <c r="G83" s="103">
        <f t="shared" si="14"/>
        <v>85.682538059683893</v>
      </c>
      <c r="H83" s="103">
        <f t="shared" si="15"/>
        <v>85.682538059683893</v>
      </c>
      <c r="I83" s="144">
        <f t="shared" si="16"/>
        <v>17107.061532893058</v>
      </c>
      <c r="J83" s="144">
        <f t="shared" si="17"/>
        <v>17107.061532893058</v>
      </c>
      <c r="K83" s="144"/>
      <c r="L83" s="144"/>
      <c r="M83" s="144"/>
      <c r="N83" s="144"/>
      <c r="O83" s="160"/>
    </row>
    <row r="84" spans="1:15">
      <c r="A84" s="64">
        <v>74</v>
      </c>
      <c r="B84" s="160">
        <f t="shared" si="11"/>
        <v>40000</v>
      </c>
      <c r="C84" s="103">
        <f t="shared" si="12"/>
        <v>22863.492388063223</v>
      </c>
      <c r="D84" s="103">
        <f t="shared" si="10"/>
        <v>22863.492388063223</v>
      </c>
      <c r="E84" s="103">
        <v>0</v>
      </c>
      <c r="F84" s="103">
        <f t="shared" si="13"/>
        <v>134.89096175016331</v>
      </c>
      <c r="G84" s="103">
        <f t="shared" si="14"/>
        <v>85.823304681453877</v>
      </c>
      <c r="H84" s="103">
        <f t="shared" si="15"/>
        <v>85.823304681453877</v>
      </c>
      <c r="I84" s="144">
        <f t="shared" si="16"/>
        <v>17136.507611936777</v>
      </c>
      <c r="J84" s="144">
        <f t="shared" si="17"/>
        <v>17136.507611936777</v>
      </c>
      <c r="K84" s="144"/>
      <c r="L84" s="144"/>
      <c r="M84" s="144"/>
      <c r="N84" s="144"/>
      <c r="O84" s="160"/>
    </row>
    <row r="85" spans="1:15">
      <c r="A85" s="64">
        <v>75</v>
      </c>
      <c r="B85" s="160">
        <f t="shared" si="11"/>
        <v>40000</v>
      </c>
      <c r="C85" s="103">
        <f t="shared" si="12"/>
        <v>22835.339063709223</v>
      </c>
      <c r="D85" s="103">
        <f t="shared" si="10"/>
        <v>22835.339063709223</v>
      </c>
      <c r="E85" s="103">
        <v>0</v>
      </c>
      <c r="F85" s="103">
        <f t="shared" si="13"/>
        <v>135.50337731723252</v>
      </c>
      <c r="G85" s="103">
        <f t="shared" si="14"/>
        <v>85.957891305194934</v>
      </c>
      <c r="H85" s="103">
        <f t="shared" si="15"/>
        <v>85.957891305194934</v>
      </c>
      <c r="I85" s="144">
        <f t="shared" si="16"/>
        <v>17164.660936290777</v>
      </c>
      <c r="J85" s="144">
        <f t="shared" si="17"/>
        <v>17164.660936290777</v>
      </c>
      <c r="K85" s="144"/>
      <c r="L85" s="144"/>
      <c r="M85" s="144"/>
      <c r="N85" s="144"/>
      <c r="O85" s="160"/>
    </row>
    <row r="86" spans="1:15">
      <c r="A86" s="64">
        <v>76</v>
      </c>
      <c r="B86" s="160">
        <f t="shared" si="11"/>
        <v>40000</v>
      </c>
      <c r="C86" s="103">
        <f t="shared" si="12"/>
        <v>22808.421738961013</v>
      </c>
      <c r="D86" s="103">
        <f t="shared" si="10"/>
        <v>22808.421738961013</v>
      </c>
      <c r="E86" s="103">
        <v>0</v>
      </c>
      <c r="F86" s="103">
        <f t="shared" si="13"/>
        <v>136.10085591925125</v>
      </c>
      <c r="G86" s="103">
        <f t="shared" si="14"/>
        <v>86.086569247893706</v>
      </c>
      <c r="H86" s="103">
        <f t="shared" si="15"/>
        <v>86.086569247893706</v>
      </c>
      <c r="I86" s="144">
        <f t="shared" si="16"/>
        <v>17191.578261038987</v>
      </c>
      <c r="J86" s="144">
        <f t="shared" si="17"/>
        <v>17191.578261038987</v>
      </c>
      <c r="K86" s="144"/>
      <c r="L86" s="144"/>
      <c r="M86" s="144"/>
      <c r="N86" s="144"/>
      <c r="O86" s="160"/>
    </row>
    <row r="87" spans="1:15">
      <c r="A87" s="64">
        <v>77</v>
      </c>
      <c r="B87" s="160">
        <f t="shared" si="11"/>
        <v>40000</v>
      </c>
      <c r="C87" s="103">
        <f t="shared" si="12"/>
        <v>22782.686150421257</v>
      </c>
      <c r="D87" s="103">
        <f t="shared" si="10"/>
        <v>22782.686150421257</v>
      </c>
      <c r="E87" s="103">
        <v>0</v>
      </c>
      <c r="F87" s="103">
        <f t="shared" si="13"/>
        <v>136.68376187244024</v>
      </c>
      <c r="G87" s="103">
        <f t="shared" si="14"/>
        <v>86.209597915059348</v>
      </c>
      <c r="H87" s="103">
        <f t="shared" si="15"/>
        <v>86.209597915059348</v>
      </c>
      <c r="I87" s="144">
        <f t="shared" si="16"/>
        <v>17217.313849578743</v>
      </c>
      <c r="J87" s="144">
        <f t="shared" si="17"/>
        <v>17217.313849578743</v>
      </c>
      <c r="K87" s="144"/>
      <c r="L87" s="144"/>
      <c r="M87" s="144"/>
      <c r="N87" s="144"/>
      <c r="O87" s="160"/>
    </row>
    <row r="88" spans="1:15">
      <c r="A88" s="64">
        <v>78</v>
      </c>
      <c r="B88" s="160">
        <f t="shared" si="11"/>
        <v>40000</v>
      </c>
      <c r="C88" s="103">
        <f t="shared" si="12"/>
        <v>22758.08041698813</v>
      </c>
      <c r="D88" s="103">
        <f t="shared" si="10"/>
        <v>22758.08041698813</v>
      </c>
      <c r="E88" s="103">
        <v>0</v>
      </c>
      <c r="F88" s="103">
        <f t="shared" si="13"/>
        <v>137.25245060725879</v>
      </c>
      <c r="G88" s="103">
        <f t="shared" si="14"/>
        <v>86.327225323666497</v>
      </c>
      <c r="H88" s="103">
        <f t="shared" si="15"/>
        <v>86.327225323666497</v>
      </c>
      <c r="I88" s="144">
        <f t="shared" si="16"/>
        <v>17241.91958301187</v>
      </c>
      <c r="J88" s="144">
        <f t="shared" si="17"/>
        <v>17241.91958301187</v>
      </c>
      <c r="K88" s="144"/>
      <c r="L88" s="144"/>
      <c r="M88" s="144"/>
      <c r="N88" s="144"/>
      <c r="O88" s="160"/>
    </row>
    <row r="89" spans="1:15">
      <c r="A89" s="64">
        <v>79</v>
      </c>
      <c r="B89" s="160">
        <f t="shared" si="11"/>
        <v>40000</v>
      </c>
      <c r="C89" s="103">
        <f t="shared" si="12"/>
        <v>22734.5549352667</v>
      </c>
      <c r="D89" s="103">
        <f t="shared" si="10"/>
        <v>22734.5549352667</v>
      </c>
      <c r="E89" s="103">
        <v>0</v>
      </c>
      <c r="F89" s="103">
        <f t="shared" si="13"/>
        <v>137.80726888513055</v>
      </c>
      <c r="G89" s="103">
        <f t="shared" si="14"/>
        <v>86.439688602139682</v>
      </c>
      <c r="H89" s="103">
        <f t="shared" si="15"/>
        <v>86.439688602139682</v>
      </c>
      <c r="I89" s="144">
        <f t="shared" si="16"/>
        <v>17265.4450647333</v>
      </c>
      <c r="J89" s="144">
        <f t="shared" si="17"/>
        <v>17265.4450647333</v>
      </c>
      <c r="K89" s="144"/>
      <c r="L89" s="144"/>
      <c r="M89" s="144"/>
      <c r="N89" s="144"/>
      <c r="O89" s="160"/>
    </row>
    <row r="90" spans="1:15">
      <c r="A90" s="64">
        <v>80</v>
      </c>
      <c r="B90" s="160">
        <f t="shared" si="11"/>
        <v>40000</v>
      </c>
      <c r="C90" s="103">
        <f t="shared" si="12"/>
        <v>22712.062279572063</v>
      </c>
      <c r="D90" s="103">
        <f t="shared" si="10"/>
        <v>22712.062279572063</v>
      </c>
      <c r="E90" s="103">
        <v>0</v>
      </c>
      <c r="F90" s="103">
        <f t="shared" si="13"/>
        <v>138.34855500988348</v>
      </c>
      <c r="G90" s="103">
        <f t="shared" si="14"/>
        <v>86.547214468387224</v>
      </c>
      <c r="H90" s="103">
        <f t="shared" si="15"/>
        <v>86.547214468387224</v>
      </c>
      <c r="I90" s="144">
        <f t="shared" si="16"/>
        <v>17287.937720427937</v>
      </c>
      <c r="J90" s="144">
        <f t="shared" si="17"/>
        <v>17287.937720427937</v>
      </c>
      <c r="K90" s="144"/>
      <c r="L90" s="144"/>
      <c r="M90" s="144"/>
      <c r="N90" s="144"/>
      <c r="O90" s="160"/>
    </row>
    <row r="91" spans="1:15">
      <c r="A91" s="64">
        <v>81</v>
      </c>
      <c r="B91" s="160">
        <f t="shared" si="11"/>
        <v>40000</v>
      </c>
      <c r="C91" s="103">
        <f t="shared" si="12"/>
        <v>22690.557106322554</v>
      </c>
      <c r="D91" s="103">
        <f t="shared" si="10"/>
        <v>22690.557106322554</v>
      </c>
      <c r="E91" s="103">
        <v>0</v>
      </c>
      <c r="F91" s="103">
        <f t="shared" si="13"/>
        <v>138.87663903403268</v>
      </c>
      <c r="G91" s="103">
        <f t="shared" si="14"/>
        <v>86.650019686848282</v>
      </c>
      <c r="H91" s="103">
        <f t="shared" si="15"/>
        <v>86.650019686848282</v>
      </c>
      <c r="I91" s="144">
        <f t="shared" si="16"/>
        <v>17309.442893677446</v>
      </c>
      <c r="J91" s="144">
        <f t="shared" si="17"/>
        <v>17309.442893677446</v>
      </c>
      <c r="K91" s="144"/>
      <c r="L91" s="144"/>
      <c r="M91" s="144"/>
      <c r="N91" s="144"/>
      <c r="O91" s="160"/>
    </row>
    <row r="92" spans="1:15">
      <c r="A92" s="64">
        <v>82</v>
      </c>
      <c r="B92" s="160">
        <f t="shared" si="11"/>
        <v>40000</v>
      </c>
      <c r="C92" s="103">
        <f t="shared" si="12"/>
        <v>22669.996062630344</v>
      </c>
      <c r="D92" s="103">
        <f t="shared" si="10"/>
        <v>22669.996062630344</v>
      </c>
      <c r="E92" s="103">
        <v>0</v>
      </c>
      <c r="F92" s="103">
        <f t="shared" si="13"/>
        <v>139.39184296003188</v>
      </c>
      <c r="G92" s="103">
        <f t="shared" si="14"/>
        <v>86.748311505474462</v>
      </c>
      <c r="H92" s="103">
        <f t="shared" si="15"/>
        <v>86.748311505474462</v>
      </c>
      <c r="I92" s="144">
        <f t="shared" si="16"/>
        <v>17330.003937369656</v>
      </c>
      <c r="J92" s="144">
        <f t="shared" si="17"/>
        <v>17330.003937369656</v>
      </c>
      <c r="K92" s="144"/>
      <c r="L92" s="144"/>
      <c r="M92" s="144"/>
      <c r="N92" s="144"/>
      <c r="O92" s="160"/>
    </row>
    <row r="93" spans="1:15">
      <c r="A93" s="64">
        <v>83</v>
      </c>
      <c r="B93" s="160">
        <f t="shared" si="11"/>
        <v>40000</v>
      </c>
      <c r="C93" s="103">
        <f t="shared" si="12"/>
        <v>22650.337698905107</v>
      </c>
      <c r="D93" s="103">
        <f t="shared" si="10"/>
        <v>22650.337698905107</v>
      </c>
      <c r="E93" s="103">
        <v>0</v>
      </c>
      <c r="F93" s="103">
        <f t="shared" si="13"/>
        <v>139.89448093661647</v>
      </c>
      <c r="G93" s="103">
        <f t="shared" si="14"/>
        <v>86.842288073526802</v>
      </c>
      <c r="H93" s="103">
        <f t="shared" si="15"/>
        <v>86.842288073526802</v>
      </c>
      <c r="I93" s="144">
        <f t="shared" si="16"/>
        <v>17349.662301094893</v>
      </c>
      <c r="J93" s="144">
        <f t="shared" si="17"/>
        <v>17349.662301094893</v>
      </c>
      <c r="K93" s="144"/>
      <c r="L93" s="144"/>
      <c r="M93" s="144"/>
      <c r="N93" s="144"/>
      <c r="O93" s="160"/>
    </row>
    <row r="94" spans="1:15">
      <c r="A94" s="64">
        <v>84</v>
      </c>
      <c r="B94" s="160">
        <f t="shared" si="11"/>
        <v>40000</v>
      </c>
      <c r="C94" s="103">
        <f t="shared" si="12"/>
        <v>22631.542385294641</v>
      </c>
      <c r="D94" s="103">
        <f t="shared" si="10"/>
        <v>22631.542385294641</v>
      </c>
      <c r="E94" s="103">
        <v>0</v>
      </c>
      <c r="F94" s="103">
        <f t="shared" si="13"/>
        <v>140.38485945035754</v>
      </c>
      <c r="G94" s="103">
        <f t="shared" si="14"/>
        <v>86.932138841030508</v>
      </c>
      <c r="H94" s="103">
        <f t="shared" si="15"/>
        <v>86.932138841030508</v>
      </c>
      <c r="I94" s="144">
        <f t="shared" si="16"/>
        <v>17368.457614705359</v>
      </c>
      <c r="J94" s="144">
        <f t="shared" si="17"/>
        <v>17368.457614705359</v>
      </c>
      <c r="K94" s="144"/>
      <c r="L94" s="144"/>
      <c r="M94" s="144"/>
      <c r="N94" s="144"/>
      <c r="O94" s="160"/>
    </row>
    <row r="95" spans="1:15">
      <c r="A95" s="64">
        <v>85</v>
      </c>
      <c r="B95" s="160">
        <f t="shared" si="11"/>
        <v>40000</v>
      </c>
      <c r="C95" s="103">
        <f t="shared" si="12"/>
        <v>22613.5722317939</v>
      </c>
      <c r="D95" s="103">
        <f t="shared" si="10"/>
        <v>22613.5722317939</v>
      </c>
      <c r="E95" s="103">
        <v>0</v>
      </c>
      <c r="F95" s="103">
        <f t="shared" si="13"/>
        <v>140.86327751254396</v>
      </c>
      <c r="G95" s="103">
        <f t="shared" si="14"/>
        <v>87.01804494069259</v>
      </c>
      <c r="H95" s="103">
        <f t="shared" si="15"/>
        <v>87.01804494069259</v>
      </c>
      <c r="I95" s="144">
        <f t="shared" si="16"/>
        <v>17386.4277682061</v>
      </c>
      <c r="J95" s="144">
        <f t="shared" si="17"/>
        <v>17386.4277682061</v>
      </c>
      <c r="K95" s="144"/>
      <c r="L95" s="144"/>
      <c r="M95" s="144"/>
      <c r="N95" s="144"/>
      <c r="O95" s="160"/>
    </row>
    <row r="96" spans="1:15">
      <c r="A96" s="64">
        <v>86</v>
      </c>
      <c r="B96" s="160">
        <f t="shared" si="11"/>
        <v>40000</v>
      </c>
      <c r="C96" s="103">
        <f t="shared" si="12"/>
        <v>22596.39101186148</v>
      </c>
      <c r="D96" s="103">
        <f t="shared" si="10"/>
        <v>22596.39101186148</v>
      </c>
      <c r="E96" s="103">
        <v>0</v>
      </c>
      <c r="F96" s="103">
        <f t="shared" si="13"/>
        <v>141.33002684150631</v>
      </c>
      <c r="G96" s="103">
        <f t="shared" si="14"/>
        <v>87.100179553052442</v>
      </c>
      <c r="H96" s="103">
        <f t="shared" si="15"/>
        <v>87.100179553052442</v>
      </c>
      <c r="I96" s="144">
        <f t="shared" si="16"/>
        <v>17403.60898813852</v>
      </c>
      <c r="J96" s="144">
        <f t="shared" si="17"/>
        <v>17403.60898813852</v>
      </c>
      <c r="K96" s="144"/>
      <c r="L96" s="144"/>
      <c r="M96" s="144"/>
      <c r="N96" s="144"/>
      <c r="O96" s="160"/>
    </row>
    <row r="97" spans="1:15">
      <c r="A97" s="64">
        <v>87</v>
      </c>
      <c r="B97" s="160">
        <f t="shared" si="11"/>
        <v>40000</v>
      </c>
      <c r="C97" s="103">
        <f t="shared" si="12"/>
        <v>22579.964089389512</v>
      </c>
      <c r="D97" s="103">
        <f t="shared" si="10"/>
        <v>22579.964089389512</v>
      </c>
      <c r="E97" s="103">
        <v>0</v>
      </c>
      <c r="F97" s="103">
        <f t="shared" si="13"/>
        <v>141.78539204049397</v>
      </c>
      <c r="G97" s="103">
        <f t="shared" si="14"/>
        <v>87.178708255601364</v>
      </c>
      <c r="H97" s="103">
        <f t="shared" si="15"/>
        <v>87.178708255601364</v>
      </c>
      <c r="I97" s="144">
        <f t="shared" si="16"/>
        <v>17420.035910610488</v>
      </c>
      <c r="J97" s="144">
        <f t="shared" si="17"/>
        <v>17420.035910610488</v>
      </c>
      <c r="K97" s="144"/>
      <c r="L97" s="144"/>
      <c r="M97" s="144"/>
      <c r="N97" s="144"/>
      <c r="O97" s="160"/>
    </row>
    <row r="98" spans="1:15">
      <c r="A98" s="64">
        <v>88</v>
      </c>
      <c r="B98" s="160">
        <f t="shared" si="11"/>
        <v>40000</v>
      </c>
      <c r="C98" s="103">
        <f t="shared" si="12"/>
        <v>22564.258348879728</v>
      </c>
      <c r="D98" s="103">
        <f t="shared" si="10"/>
        <v>22564.258348879728</v>
      </c>
      <c r="E98" s="103">
        <v>0</v>
      </c>
      <c r="F98" s="103">
        <f t="shared" si="13"/>
        <v>142.22965077121364</v>
      </c>
      <c r="G98" s="103">
        <f t="shared" si="14"/>
        <v>87.25378935657497</v>
      </c>
      <c r="H98" s="103">
        <f t="shared" si="15"/>
        <v>87.25378935657497</v>
      </c>
      <c r="I98" s="144">
        <f t="shared" si="16"/>
        <v>17435.741651120272</v>
      </c>
      <c r="J98" s="144">
        <f t="shared" si="17"/>
        <v>17435.741651120272</v>
      </c>
      <c r="K98" s="144"/>
      <c r="L98" s="144"/>
      <c r="M98" s="144"/>
      <c r="N98" s="144"/>
      <c r="O98" s="160"/>
    </row>
    <row r="99" spans="1:15">
      <c r="A99" s="64">
        <v>89</v>
      </c>
      <c r="B99" s="160">
        <f t="shared" si="11"/>
        <v>40000</v>
      </c>
      <c r="C99" s="103">
        <f t="shared" si="12"/>
        <v>22549.242128685008</v>
      </c>
      <c r="D99" s="103">
        <f t="shared" si="10"/>
        <v>22549.242128685008</v>
      </c>
      <c r="E99" s="103">
        <v>0</v>
      </c>
      <c r="F99" s="103">
        <f t="shared" si="13"/>
        <v>142.66307392313527</v>
      </c>
      <c r="G99" s="103">
        <f t="shared" si="14"/>
        <v>87.325574214091205</v>
      </c>
      <c r="H99" s="103">
        <f t="shared" si="15"/>
        <v>87.325574214091205</v>
      </c>
      <c r="I99" s="144">
        <f t="shared" si="16"/>
        <v>17450.757871314992</v>
      </c>
      <c r="J99" s="144">
        <f t="shared" si="17"/>
        <v>17450.757871314992</v>
      </c>
      <c r="K99" s="144"/>
      <c r="L99" s="144"/>
      <c r="M99" s="144"/>
      <c r="N99" s="144"/>
      <c r="O99" s="160"/>
    </row>
    <row r="100" spans="1:15">
      <c r="A100" s="64">
        <v>90</v>
      </c>
      <c r="B100" s="160">
        <f t="shared" si="11"/>
        <v>40000</v>
      </c>
      <c r="C100" s="103">
        <f t="shared" si="12"/>
        <v>22534.885157181758</v>
      </c>
      <c r="D100" s="103">
        <f t="shared" si="10"/>
        <v>22534.885157181758</v>
      </c>
      <c r="E100" s="103">
        <v>0</v>
      </c>
      <c r="F100" s="103">
        <f t="shared" si="13"/>
        <v>143.08592577866858</v>
      </c>
      <c r="G100" s="103">
        <f t="shared" si="14"/>
        <v>87.394207541277453</v>
      </c>
      <c r="H100" s="103">
        <f t="shared" si="15"/>
        <v>87.394207541277453</v>
      </c>
      <c r="I100" s="144">
        <f t="shared" si="16"/>
        <v>17465.114842818242</v>
      </c>
      <c r="J100" s="144">
        <f t="shared" si="17"/>
        <v>17465.114842818242</v>
      </c>
      <c r="K100" s="144"/>
      <c r="L100" s="144"/>
      <c r="M100" s="144"/>
      <c r="N100" s="144"/>
      <c r="O100" s="160"/>
    </row>
    <row r="101" spans="1:15">
      <c r="A101" s="64">
        <v>91</v>
      </c>
      <c r="B101" s="160">
        <f t="shared" si="11"/>
        <v>40000</v>
      </c>
      <c r="C101" s="103">
        <f t="shared" si="12"/>
        <v>22521.158491744511</v>
      </c>
      <c r="D101" s="103">
        <f t="shared" si="10"/>
        <v>22521.158491744511</v>
      </c>
      <c r="E101" s="103">
        <v>0</v>
      </c>
      <c r="F101" s="103">
        <f t="shared" si="13"/>
        <v>143.49846417431081</v>
      </c>
      <c r="G101" s="103">
        <f t="shared" si="14"/>
        <v>87.45982769800186</v>
      </c>
      <c r="H101" s="103">
        <f t="shared" si="15"/>
        <v>87.45982769800186</v>
      </c>
      <c r="I101" s="144">
        <f t="shared" si="16"/>
        <v>17478.841508255489</v>
      </c>
      <c r="J101" s="144">
        <f t="shared" si="17"/>
        <v>17478.841508255489</v>
      </c>
      <c r="K101" s="144"/>
      <c r="L101" s="144"/>
      <c r="M101" s="144"/>
      <c r="N101" s="144"/>
      <c r="O101" s="160"/>
    </row>
    <row r="102" spans="1:15">
      <c r="A102" s="64">
        <v>92</v>
      </c>
      <c r="B102" s="160">
        <f t="shared" si="11"/>
        <v>40000</v>
      </c>
      <c r="C102" s="103">
        <f t="shared" si="12"/>
        <v>22508.034460399627</v>
      </c>
      <c r="D102" s="103">
        <f t="shared" si="10"/>
        <v>22508.034460399627</v>
      </c>
      <c r="E102" s="103">
        <v>0</v>
      </c>
      <c r="F102" s="103">
        <f t="shared" si="13"/>
        <v>143.90094065786423</v>
      </c>
      <c r="G102" s="103">
        <f t="shared" si="14"/>
        <v>87.522566969796912</v>
      </c>
      <c r="H102" s="103">
        <f t="shared" si="15"/>
        <v>87.522566969796912</v>
      </c>
      <c r="I102" s="144">
        <f t="shared" si="16"/>
        <v>17491.965539600373</v>
      </c>
      <c r="J102" s="144">
        <f t="shared" si="17"/>
        <v>17491.965539600373</v>
      </c>
      <c r="K102" s="144"/>
      <c r="L102" s="144"/>
      <c r="M102" s="144"/>
      <c r="N102" s="144"/>
      <c r="O102" s="160"/>
    </row>
    <row r="103" spans="1:15">
      <c r="A103" s="64">
        <v>93</v>
      </c>
      <c r="B103" s="160">
        <f t="shared" si="11"/>
        <v>40000</v>
      </c>
      <c r="C103" s="103">
        <f t="shared" si="12"/>
        <v>22495.486606040617</v>
      </c>
      <c r="D103" s="103">
        <f t="shared" si="10"/>
        <v>22495.486606040617</v>
      </c>
      <c r="E103" s="103">
        <v>0</v>
      </c>
      <c r="F103" s="103">
        <f t="shared" si="13"/>
        <v>144.29360064181876</v>
      </c>
      <c r="G103" s="103">
        <f t="shared" si="14"/>
        <v>87.58255183453754</v>
      </c>
      <c r="H103" s="103">
        <f t="shared" si="15"/>
        <v>87.58255183453754</v>
      </c>
      <c r="I103" s="144">
        <f t="shared" si="16"/>
        <v>17504.513393959383</v>
      </c>
      <c r="J103" s="144">
        <f t="shared" si="17"/>
        <v>17504.513393959383</v>
      </c>
      <c r="K103" s="144"/>
      <c r="L103" s="144"/>
      <c r="M103" s="144"/>
      <c r="N103" s="144"/>
      <c r="O103" s="160"/>
    </row>
    <row r="104" spans="1:15">
      <c r="A104" s="64">
        <v>94</v>
      </c>
      <c r="B104" s="160">
        <f t="shared" si="11"/>
        <v>40000</v>
      </c>
      <c r="C104" s="103">
        <f t="shared" si="12"/>
        <v>22483.489633092493</v>
      </c>
      <c r="D104" s="103">
        <f t="shared" si="10"/>
        <v>22483.489633092493</v>
      </c>
      <c r="E104" s="103">
        <v>0</v>
      </c>
      <c r="F104" s="103">
        <f t="shared" si="13"/>
        <v>144.67668355299392</v>
      </c>
      <c r="G104" s="103">
        <f t="shared" si="14"/>
        <v>87.639903217411515</v>
      </c>
      <c r="H104" s="103">
        <f t="shared" si="15"/>
        <v>87.639903217411515</v>
      </c>
      <c r="I104" s="144">
        <f t="shared" si="16"/>
        <v>17516.510366907507</v>
      </c>
      <c r="J104" s="144">
        <f t="shared" si="17"/>
        <v>17516.510366907507</v>
      </c>
      <c r="K104" s="144"/>
      <c r="L104" s="144"/>
      <c r="M104" s="144"/>
      <c r="N104" s="144"/>
      <c r="O104" s="160"/>
    </row>
    <row r="105" spans="1:15">
      <c r="A105" s="64">
        <v>95</v>
      </c>
      <c r="B105" s="160">
        <f t="shared" si="11"/>
        <v>40000</v>
      </c>
      <c r="C105" s="103">
        <f t="shared" si="12"/>
        <v>22472.019356517696</v>
      </c>
      <c r="D105" s="103">
        <f t="shared" si="10"/>
        <v>22472.019356517696</v>
      </c>
      <c r="E105" s="103">
        <v>0</v>
      </c>
      <c r="F105" s="103">
        <f t="shared" si="13"/>
        <v>145.05042297853066</v>
      </c>
      <c r="G105" s="103">
        <f t="shared" si="14"/>
        <v>87.694736734695894</v>
      </c>
      <c r="H105" s="103">
        <f t="shared" si="15"/>
        <v>87.694736734695894</v>
      </c>
      <c r="I105" s="144">
        <f t="shared" si="16"/>
        <v>17527.980643482304</v>
      </c>
      <c r="J105" s="144">
        <f t="shared" si="17"/>
        <v>17527.980643482304</v>
      </c>
      <c r="K105" s="144"/>
      <c r="L105" s="144"/>
      <c r="M105" s="144"/>
      <c r="N105" s="144"/>
      <c r="O105" s="160"/>
    </row>
    <row r="106" spans="1:15">
      <c r="A106" s="64">
        <v>96</v>
      </c>
      <c r="B106" s="160">
        <f t="shared" si="11"/>
        <v>40000</v>
      </c>
      <c r="C106" s="103">
        <f t="shared" si="12"/>
        <v>22461.052653060822</v>
      </c>
      <c r="D106" s="103">
        <f t="shared" ref="D106:D137" si="18">B106-I106</f>
        <v>22461.052653060822</v>
      </c>
      <c r="E106" s="103">
        <v>0</v>
      </c>
      <c r="F106" s="103">
        <f t="shared" si="13"/>
        <v>145.41504680832261</v>
      </c>
      <c r="G106" s="103">
        <f t="shared" si="14"/>
        <v>87.747162926831209</v>
      </c>
      <c r="H106" s="103">
        <f t="shared" si="15"/>
        <v>87.747162926831209</v>
      </c>
      <c r="I106" s="144">
        <f t="shared" si="16"/>
        <v>17538.947346939178</v>
      </c>
      <c r="J106" s="144">
        <f t="shared" si="17"/>
        <v>17538.947346939178</v>
      </c>
      <c r="K106" s="144"/>
      <c r="L106" s="144"/>
      <c r="M106" s="144"/>
      <c r="N106" s="144"/>
      <c r="O106" s="160"/>
    </row>
    <row r="107" spans="1:15">
      <c r="A107" s="64">
        <v>97</v>
      </c>
      <c r="B107" s="160">
        <f t="shared" si="11"/>
        <v>40000</v>
      </c>
      <c r="C107" s="103">
        <f t="shared" si="12"/>
        <v>22450.567414633759</v>
      </c>
      <c r="D107" s="103">
        <f t="shared" si="18"/>
        <v>22450.567414633759</v>
      </c>
      <c r="E107" s="103">
        <v>0</v>
      </c>
      <c r="F107" s="103">
        <f t="shared" si="13"/>
        <v>145.77077737397329</v>
      </c>
      <c r="G107" s="103">
        <f t="shared" si="14"/>
        <v>87.797287481263012</v>
      </c>
      <c r="H107" s="103">
        <f t="shared" si="15"/>
        <v>87.797287481263012</v>
      </c>
      <c r="I107" s="144">
        <f t="shared" si="16"/>
        <v>17549.432585366241</v>
      </c>
      <c r="J107" s="144">
        <f t="shared" si="17"/>
        <v>17549.432585366241</v>
      </c>
      <c r="K107" s="144"/>
      <c r="L107" s="144"/>
      <c r="M107" s="144"/>
      <c r="N107" s="144"/>
      <c r="O107" s="160"/>
    </row>
    <row r="108" spans="1:15">
      <c r="A108" s="64">
        <v>98</v>
      </c>
      <c r="B108" s="160">
        <f t="shared" si="11"/>
        <v>40000</v>
      </c>
      <c r="C108" s="103">
        <f t="shared" si="12"/>
        <v>22440.542503747398</v>
      </c>
      <c r="D108" s="103">
        <f t="shared" si="18"/>
        <v>22440.542503747398</v>
      </c>
      <c r="E108" s="103">
        <v>0</v>
      </c>
      <c r="F108" s="103">
        <f t="shared" si="13"/>
        <v>146.11783158436421</v>
      </c>
      <c r="G108" s="103">
        <f t="shared" si="14"/>
        <v>87.845211445500254</v>
      </c>
      <c r="H108" s="103">
        <f t="shared" si="15"/>
        <v>87.845211445500254</v>
      </c>
      <c r="I108" s="144">
        <f t="shared" si="16"/>
        <v>17559.457496252602</v>
      </c>
      <c r="J108" s="144">
        <f t="shared" si="17"/>
        <v>17559.457496252602</v>
      </c>
      <c r="K108" s="144"/>
      <c r="L108" s="144"/>
      <c r="M108" s="144"/>
      <c r="N108" s="144"/>
      <c r="O108" s="160"/>
    </row>
    <row r="109" spans="1:15">
      <c r="A109" s="64">
        <v>99</v>
      </c>
      <c r="B109" s="160">
        <f t="shared" si="11"/>
        <v>40000</v>
      </c>
      <c r="C109" s="103">
        <f t="shared" si="12"/>
        <v>22430.957710899947</v>
      </c>
      <c r="D109" s="103">
        <f t="shared" si="18"/>
        <v>22430.957710899947</v>
      </c>
      <c r="E109" s="103">
        <v>0</v>
      </c>
      <c r="F109" s="103">
        <f t="shared" si="13"/>
        <v>146.45642105791632</v>
      </c>
      <c r="G109" s="103">
        <f t="shared" si="14"/>
        <v>87.891031430819766</v>
      </c>
      <c r="H109" s="103">
        <f t="shared" si="15"/>
        <v>87.891031430819766</v>
      </c>
      <c r="I109" s="144">
        <f t="shared" si="16"/>
        <v>17569.042289100053</v>
      </c>
      <c r="J109" s="144">
        <f t="shared" si="17"/>
        <v>17569.042289100053</v>
      </c>
      <c r="K109" s="144"/>
      <c r="L109" s="144"/>
      <c r="M109" s="144"/>
      <c r="N109" s="144"/>
      <c r="O109" s="160"/>
    </row>
    <row r="110" spans="1:15">
      <c r="A110" s="64">
        <v>100</v>
      </c>
      <c r="B110" s="160">
        <f t="shared" si="11"/>
        <v>40000</v>
      </c>
      <c r="C110" s="103">
        <f t="shared" si="12"/>
        <v>22421.793713836047</v>
      </c>
      <c r="D110" s="103">
        <f t="shared" si="18"/>
        <v>22421.793713836047</v>
      </c>
      <c r="E110" s="103">
        <f>-0.25*$D$2*(1-COS(2*PI()*A10*$D$4*$D$6))</f>
        <v>0</v>
      </c>
      <c r="F110" s="103">
        <f t="shared" si="13"/>
        <v>146.7867522516257</v>
      </c>
      <c r="G110" s="103">
        <f t="shared" si="14"/>
        <v>87.934839807027686</v>
      </c>
      <c r="H110" s="103">
        <f t="shared" si="15"/>
        <v>87.934839807027686</v>
      </c>
      <c r="I110" s="144">
        <f t="shared" si="16"/>
        <v>17578.206286163953</v>
      </c>
      <c r="J110" s="144">
        <f t="shared" si="17"/>
        <v>17578.206286163953</v>
      </c>
      <c r="K110" s="144"/>
      <c r="L110" s="144"/>
      <c r="M110" s="144"/>
      <c r="N110" s="144"/>
      <c r="O110" s="160"/>
    </row>
    <row r="111" spans="1:15">
      <c r="A111" s="64">
        <v>101</v>
      </c>
      <c r="B111" s="160">
        <f t="shared" si="11"/>
        <v>40000</v>
      </c>
      <c r="C111" s="103">
        <f t="shared" si="12"/>
        <v>22536.148632643082</v>
      </c>
      <c r="D111" s="103">
        <f t="shared" si="18"/>
        <v>22413.032038594461</v>
      </c>
      <c r="E111" s="103">
        <f>0.25*$D$2*(1-COS(2*PI()*A11*$D$4*$D$6))</f>
        <v>123.11659404862229</v>
      </c>
      <c r="F111" s="103">
        <f t="shared" si="13"/>
        <v>147.09701521192278</v>
      </c>
      <c r="G111" s="103">
        <f t="shared" si="14"/>
        <v>87.964713513641243</v>
      </c>
      <c r="H111" s="103">
        <f t="shared" si="15"/>
        <v>87.976724888670375</v>
      </c>
      <c r="I111" s="144">
        <f t="shared" si="16"/>
        <v>17586.967961405539</v>
      </c>
      <c r="J111" s="144">
        <f t="shared" si="17"/>
        <v>17463.851367356918</v>
      </c>
      <c r="K111" s="144"/>
      <c r="L111" s="144"/>
      <c r="M111" s="144"/>
      <c r="N111" s="144"/>
      <c r="O111" s="160"/>
    </row>
    <row r="112" spans="1:15">
      <c r="A112" s="64">
        <v>102</v>
      </c>
      <c r="B112" s="160">
        <f t="shared" si="11"/>
        <v>40000</v>
      </c>
      <c r="C112" s="103">
        <f t="shared" si="12"/>
        <v>22894.08985931439</v>
      </c>
      <c r="D112" s="103">
        <f t="shared" si="18"/>
        <v>22407.057297271753</v>
      </c>
      <c r="E112" s="103">
        <f t="shared" ref="E112:E150" si="19">0.25*$D$2*(1-COS(2*PI()*A12*$D$4*$D$6))</f>
        <v>489.43483704846471</v>
      </c>
      <c r="F112" s="103">
        <f t="shared" si="13"/>
        <v>147.3639724177736</v>
      </c>
      <c r="G112" s="103">
        <f t="shared" si="14"/>
        <v>87.957537326501054</v>
      </c>
      <c r="H112" s="103">
        <f t="shared" si="15"/>
        <v>88.01677111307022</v>
      </c>
      <c r="I112" s="144">
        <f t="shared" si="16"/>
        <v>17592.942702728247</v>
      </c>
      <c r="J112" s="144">
        <f t="shared" si="17"/>
        <v>17105.91014068561</v>
      </c>
      <c r="K112" s="144"/>
      <c r="L112" s="144"/>
      <c r="M112" s="144"/>
      <c r="N112" s="144"/>
      <c r="O112" s="160"/>
    </row>
    <row r="113" spans="1:15">
      <c r="A113" s="64">
        <v>103</v>
      </c>
      <c r="B113" s="160">
        <f t="shared" si="11"/>
        <v>40000</v>
      </c>
      <c r="C113" s="103">
        <f t="shared" si="12"/>
        <v>23486.580535502275</v>
      </c>
      <c r="D113" s="103">
        <f t="shared" si="18"/>
        <v>22408.492534699788</v>
      </c>
      <c r="E113" s="103">
        <f t="shared" si="19"/>
        <v>1089.9347581163211</v>
      </c>
      <c r="F113" s="103">
        <f t="shared" si="13"/>
        <v>147.56583311410924</v>
      </c>
      <c r="G113" s="103">
        <f t="shared" si="14"/>
        <v>87.89209083332625</v>
      </c>
      <c r="H113" s="103">
        <f t="shared" si="15"/>
        <v>88.055059210545195</v>
      </c>
      <c r="I113" s="144">
        <f t="shared" si="16"/>
        <v>17591.507465300212</v>
      </c>
      <c r="J113" s="144">
        <f t="shared" si="17"/>
        <v>16513.419464497725</v>
      </c>
      <c r="K113" s="144"/>
      <c r="L113" s="144"/>
      <c r="M113" s="144"/>
      <c r="N113" s="144"/>
      <c r="O113" s="160"/>
    </row>
    <row r="114" spans="1:15">
      <c r="A114" s="64">
        <v>104</v>
      </c>
      <c r="B114" s="160">
        <f t="shared" si="11"/>
        <v>40000</v>
      </c>
      <c r="C114" s="103">
        <f t="shared" si="12"/>
        <v>24298.818214141487</v>
      </c>
      <c r="D114" s="103">
        <f t="shared" si="18"/>
        <v>22421.581833334749</v>
      </c>
      <c r="E114" s="103">
        <f t="shared" si="19"/>
        <v>1909.8300562505256</v>
      </c>
      <c r="F114" s="103">
        <f t="shared" si="13"/>
        <v>147.68278059364314</v>
      </c>
      <c r="G114" s="103">
        <f t="shared" si="14"/>
        <v>87.749527815643589</v>
      </c>
      <c r="H114" s="103">
        <f t="shared" si="15"/>
        <v>88.091666367155412</v>
      </c>
      <c r="I114" s="144">
        <f t="shared" si="16"/>
        <v>17578.418166665251</v>
      </c>
      <c r="J114" s="144">
        <f t="shared" si="17"/>
        <v>15701.181785858513</v>
      </c>
      <c r="K114" s="144"/>
      <c r="L114" s="144"/>
      <c r="M114" s="144"/>
      <c r="N114" s="144"/>
      <c r="O114" s="160"/>
    </row>
    <row r="115" spans="1:15">
      <c r="A115" s="64">
        <v>105</v>
      </c>
      <c r="B115" s="160">
        <f t="shared" si="11"/>
        <v>40000</v>
      </c>
      <c r="C115" s="103">
        <f t="shared" si="12"/>
        <v>25310.598914703442</v>
      </c>
      <c r="D115" s="103">
        <f t="shared" si="18"/>
        <v>22450.094436871281</v>
      </c>
      <c r="E115" s="103">
        <f t="shared" si="19"/>
        <v>2928.9321881345245</v>
      </c>
      <c r="F115" s="103">
        <f t="shared" si="13"/>
        <v>147.69745109739483</v>
      </c>
      <c r="G115" s="103">
        <f t="shared" si="14"/>
        <v>87.513799063919294</v>
      </c>
      <c r="H115" s="103">
        <f t="shared" si="15"/>
        <v>88.126666380304684</v>
      </c>
      <c r="I115" s="144">
        <f t="shared" si="16"/>
        <v>17549.905563128719</v>
      </c>
      <c r="J115" s="144">
        <f t="shared" si="17"/>
        <v>14689.401085296558</v>
      </c>
      <c r="K115" s="144"/>
      <c r="L115" s="144"/>
      <c r="M115" s="144"/>
      <c r="N115" s="144"/>
      <c r="O115" s="160"/>
    </row>
    <row r="116" spans="1:15">
      <c r="A116" s="64">
        <v>106</v>
      </c>
      <c r="B116" s="160">
        <f t="shared" si="11"/>
        <v>40000</v>
      </c>
      <c r="C116" s="103">
        <f t="shared" si="12"/>
        <v>26496.814201014331</v>
      </c>
      <c r="D116" s="103">
        <f t="shared" si="18"/>
        <v>22497.240187216143</v>
      </c>
      <c r="E116" s="103">
        <f t="shared" si="19"/>
        <v>4122.1474770752684</v>
      </c>
      <c r="F116" s="103">
        <f t="shared" si="13"/>
        <v>147.5953525362803</v>
      </c>
      <c r="G116" s="103">
        <f t="shared" si="14"/>
        <v>87.172008131642329</v>
      </c>
      <c r="H116" s="103">
        <f t="shared" si="15"/>
        <v>88.160129807510828</v>
      </c>
      <c r="I116" s="144">
        <f t="shared" si="16"/>
        <v>17502.759812783857</v>
      </c>
      <c r="J116" s="144">
        <f t="shared" si="17"/>
        <v>13503.185798985669</v>
      </c>
      <c r="K116" s="144"/>
      <c r="L116" s="144"/>
      <c r="M116" s="144"/>
      <c r="N116" s="144"/>
      <c r="O116" s="160"/>
    </row>
    <row r="117" spans="1:15">
      <c r="A117" s="64">
        <v>107</v>
      </c>
      <c r="B117" s="160">
        <f t="shared" si="11"/>
        <v>40000</v>
      </c>
      <c r="C117" s="103">
        <f t="shared" si="12"/>
        <v>27828.069041102368</v>
      </c>
      <c r="D117" s="103">
        <f t="shared" si="18"/>
        <v>22565.598373671535</v>
      </c>
      <c r="E117" s="103">
        <f t="shared" si="19"/>
        <v>5460.0950026045321</v>
      </c>
      <c r="F117" s="103">
        <f t="shared" si="13"/>
        <v>147.36521271806816</v>
      </c>
      <c r="G117" s="103">
        <f t="shared" si="14"/>
        <v>86.714691189023441</v>
      </c>
      <c r="H117" s="103">
        <f t="shared" si="15"/>
        <v>88.192124108644506</v>
      </c>
      <c r="I117" s="144">
        <f t="shared" si="16"/>
        <v>17434.401626328465</v>
      </c>
      <c r="J117" s="144">
        <f t="shared" si="17"/>
        <v>12171.930958897632</v>
      </c>
      <c r="K117" s="144"/>
      <c r="L117" s="144"/>
      <c r="M117" s="144"/>
      <c r="N117" s="144"/>
      <c r="O117" s="160"/>
    </row>
    <row r="118" spans="1:15">
      <c r="A118" s="64">
        <v>108</v>
      </c>
      <c r="B118" s="160">
        <f t="shared" si="11"/>
        <v>40000</v>
      </c>
      <c r="C118" s="103">
        <f t="shared" si="12"/>
        <v>29271.405234521622</v>
      </c>
      <c r="D118" s="103">
        <f t="shared" si="18"/>
        <v>22657.061762195313</v>
      </c>
      <c r="E118" s="103">
        <f t="shared" si="19"/>
        <v>6909.8300562505256</v>
      </c>
      <c r="F118" s="103">
        <f t="shared" si="13"/>
        <v>146.99924849994451</v>
      </c>
      <c r="G118" s="103">
        <f t="shared" si="14"/>
        <v>86.136014009383345</v>
      </c>
      <c r="H118" s="103">
        <f t="shared" si="15"/>
        <v>88.222713781923531</v>
      </c>
      <c r="I118" s="144">
        <f t="shared" si="16"/>
        <v>17342.938237804687</v>
      </c>
      <c r="J118" s="144">
        <f t="shared" si="17"/>
        <v>10728.594765478378</v>
      </c>
      <c r="K118" s="144"/>
      <c r="L118" s="144"/>
      <c r="M118" s="144"/>
      <c r="N118" s="144"/>
      <c r="O118" s="160"/>
    </row>
    <row r="119" spans="1:15">
      <c r="A119" s="64">
        <v>109</v>
      </c>
      <c r="B119" s="160">
        <f t="shared" si="11"/>
        <v>40000</v>
      </c>
      <c r="C119" s="103">
        <f t="shared" si="12"/>
        <v>30791.112593212983</v>
      </c>
      <c r="D119" s="103">
        <f t="shared" si="18"/>
        <v>22772.797198123331</v>
      </c>
      <c r="E119" s="103">
        <f t="shared" si="19"/>
        <v>8435.6553495976914</v>
      </c>
      <c r="F119" s="103">
        <f t="shared" si="13"/>
        <v>146.49334923413147</v>
      </c>
      <c r="G119" s="103">
        <f t="shared" si="14"/>
        <v>85.433881165108204</v>
      </c>
      <c r="H119" s="103">
        <f t="shared" si="15"/>
        <v>88.25196049393665</v>
      </c>
      <c r="I119" s="144">
        <f t="shared" si="16"/>
        <v>17227.202801876669</v>
      </c>
      <c r="J119" s="144">
        <f t="shared" si="17"/>
        <v>9208.8874067870165</v>
      </c>
      <c r="K119" s="144"/>
      <c r="L119" s="144"/>
      <c r="M119" s="144"/>
      <c r="N119" s="144"/>
      <c r="O119" s="160"/>
    </row>
    <row r="120" spans="1:15">
      <c r="A120" s="64">
        <v>110</v>
      </c>
      <c r="B120" s="160">
        <f t="shared" si="11"/>
        <v>40000</v>
      </c>
      <c r="C120" s="103">
        <f t="shared" si="12"/>
        <v>32349.607901212665</v>
      </c>
      <c r="D120" s="103">
        <f t="shared" si="18"/>
        <v>22913.223766978361</v>
      </c>
      <c r="E120" s="103">
        <f t="shared" si="19"/>
        <v>9999.9999999999982</v>
      </c>
      <c r="F120" s="103">
        <f t="shared" si="13"/>
        <v>145.84716998451853</v>
      </c>
      <c r="G120" s="103">
        <f t="shared" si="14"/>
        <v>84.609954674932723</v>
      </c>
      <c r="H120" s="103">
        <f t="shared" si="15"/>
        <v>88.279923203958944</v>
      </c>
      <c r="I120" s="144">
        <f t="shared" si="16"/>
        <v>17086.776233021639</v>
      </c>
      <c r="J120" s="144">
        <f t="shared" si="17"/>
        <v>7650.3920987873335</v>
      </c>
      <c r="K120" s="144"/>
      <c r="L120" s="144"/>
      <c r="M120" s="144"/>
      <c r="N120" s="144"/>
      <c r="O120" s="160"/>
    </row>
    <row r="121" spans="1:15">
      <c r="A121" s="64">
        <v>111</v>
      </c>
      <c r="B121" s="160">
        <f t="shared" si="11"/>
        <v>40000</v>
      </c>
      <c r="C121" s="103">
        <f t="shared" si="12"/>
        <v>33908.360009610515</v>
      </c>
      <c r="D121" s="103">
        <f t="shared" si="18"/>
        <v>23078.009065013455</v>
      </c>
      <c r="E121" s="103">
        <f t="shared" si="19"/>
        <v>11564.344650402307</v>
      </c>
      <c r="F121" s="103">
        <f t="shared" si="13"/>
        <v>145.06413221412518</v>
      </c>
      <c r="G121" s="103">
        <f t="shared" si="14"/>
        <v>83.669581576969605</v>
      </c>
      <c r="H121" s="103">
        <f t="shared" si="15"/>
        <v>88.306658282809536</v>
      </c>
      <c r="I121" s="144">
        <f t="shared" si="16"/>
        <v>16921.990934986545</v>
      </c>
      <c r="J121" s="144">
        <f t="shared" si="17"/>
        <v>6091.6399903894835</v>
      </c>
      <c r="K121" s="144"/>
      <c r="L121" s="144"/>
      <c r="M121" s="144"/>
      <c r="N121" s="144"/>
      <c r="O121" s="160"/>
    </row>
    <row r="122" spans="1:15">
      <c r="A122" s="64">
        <v>112</v>
      </c>
      <c r="B122" s="160">
        <f t="shared" si="11"/>
        <v>40000</v>
      </c>
      <c r="C122" s="103">
        <f t="shared" si="12"/>
        <v>35428.838287187566</v>
      </c>
      <c r="D122" s="103">
        <f t="shared" si="18"/>
        <v>23266.083684606077</v>
      </c>
      <c r="E122" s="103">
        <f t="shared" si="19"/>
        <v>13090.169943749475</v>
      </c>
      <c r="F122" s="103">
        <f t="shared" si="13"/>
        <v>144.15133192170754</v>
      </c>
      <c r="G122" s="103">
        <f t="shared" si="14"/>
        <v>82.621632147370988</v>
      </c>
      <c r="H122" s="103">
        <f t="shared" si="15"/>
        <v>88.332219626491081</v>
      </c>
      <c r="I122" s="144">
        <f t="shared" si="16"/>
        <v>16733.916315393923</v>
      </c>
      <c r="J122" s="144">
        <f t="shared" si="17"/>
        <v>4571.1617128124308</v>
      </c>
      <c r="K122" s="144"/>
      <c r="L122" s="144"/>
      <c r="M122" s="144"/>
      <c r="N122" s="144"/>
      <c r="O122" s="160"/>
    </row>
    <row r="123" spans="1:15">
      <c r="A123" s="64">
        <v>113</v>
      </c>
      <c r="B123" s="160">
        <f t="shared" si="11"/>
        <v>40000</v>
      </c>
      <c r="C123" s="103">
        <f t="shared" si="12"/>
        <v>36873.461072097256</v>
      </c>
      <c r="D123" s="103">
        <f t="shared" si="18"/>
        <v>23475.673570525803</v>
      </c>
      <c r="E123" s="103">
        <f t="shared" si="19"/>
        <v>14539.904997395472</v>
      </c>
      <c r="F123" s="103">
        <f t="shared" si="13"/>
        <v>143.11935748484683</v>
      </c>
      <c r="G123" s="103">
        <f t="shared" si="14"/>
        <v>81.478252687496621</v>
      </c>
      <c r="H123" s="103">
        <f t="shared" si="15"/>
        <v>88.356658764840262</v>
      </c>
      <c r="I123" s="144">
        <f t="shared" si="16"/>
        <v>16524.326429474197</v>
      </c>
      <c r="J123" s="144">
        <f t="shared" si="17"/>
        <v>3126.538927902744</v>
      </c>
      <c r="K123" s="144"/>
      <c r="L123" s="144"/>
      <c r="M123" s="144"/>
      <c r="N123" s="144"/>
      <c r="O123" s="160"/>
    </row>
    <row r="124" spans="1:15">
      <c r="A124" s="64">
        <v>114</v>
      </c>
      <c r="B124" s="160">
        <f t="shared" si="11"/>
        <v>40000</v>
      </c>
      <c r="C124" s="103">
        <f t="shared" si="12"/>
        <v>38206.520769956674</v>
      </c>
      <c r="D124" s="103">
        <f t="shared" si="18"/>
        <v>23704.349462500675</v>
      </c>
      <c r="E124" s="103">
        <f t="shared" si="19"/>
        <v>15877.85252292473</v>
      </c>
      <c r="F124" s="103">
        <f t="shared" si="13"/>
        <v>141.98202169029696</v>
      </c>
      <c r="G124" s="103">
        <f t="shared" si="14"/>
        <v>80.254538908735825</v>
      </c>
      <c r="H124" s="103">
        <f t="shared" si="15"/>
        <v>88.380024965408253</v>
      </c>
      <c r="I124" s="144">
        <f t="shared" si="16"/>
        <v>16295.650537499325</v>
      </c>
      <c r="J124" s="144">
        <f t="shared" si="17"/>
        <v>1793.4792300433237</v>
      </c>
      <c r="K124" s="144"/>
      <c r="L124" s="144"/>
      <c r="M124" s="144"/>
      <c r="N124" s="144"/>
      <c r="O124" s="160"/>
    </row>
    <row r="125" spans="1:15">
      <c r="A125" s="64">
        <v>115</v>
      </c>
      <c r="B125" s="160">
        <f t="shared" si="11"/>
        <v>40000</v>
      </c>
      <c r="C125" s="103">
        <f t="shared" si="12"/>
        <v>39395.06281878383</v>
      </c>
      <c r="D125" s="103">
        <f t="shared" si="18"/>
        <v>23949.092218252837</v>
      </c>
      <c r="E125" s="103">
        <f t="shared" si="19"/>
        <v>17071.067811865476</v>
      </c>
      <c r="F125" s="103">
        <f t="shared" si="13"/>
        <v>140.75601454547359</v>
      </c>
      <c r="G125" s="103">
        <f t="shared" si="14"/>
        <v>78.96813790182884</v>
      </c>
      <c r="H125" s="103">
        <f t="shared" si="15"/>
        <v>88.40236533278059</v>
      </c>
      <c r="I125" s="144">
        <f t="shared" si="16"/>
        <v>16050.907781747164</v>
      </c>
      <c r="J125" s="144">
        <f t="shared" si="17"/>
        <v>604.93718121617349</v>
      </c>
      <c r="K125" s="144"/>
      <c r="L125" s="144"/>
      <c r="M125" s="144"/>
      <c r="N125" s="144"/>
      <c r="O125" s="160"/>
    </row>
    <row r="126" spans="1:15">
      <c r="A126" s="64">
        <v>116</v>
      </c>
      <c r="B126" s="160">
        <f t="shared" si="11"/>
        <v>40000</v>
      </c>
      <c r="C126" s="103">
        <f t="shared" si="12"/>
        <v>40409.696877193361</v>
      </c>
      <c r="D126" s="103">
        <f t="shared" si="18"/>
        <v>24206.37241963423</v>
      </c>
      <c r="E126" s="103">
        <f t="shared" si="19"/>
        <v>18090.169943749475</v>
      </c>
      <c r="F126" s="103">
        <f t="shared" si="13"/>
        <v>139.46048541570599</v>
      </c>
      <c r="G126" s="103">
        <f t="shared" si="14"/>
        <v>77.638788438455919</v>
      </c>
      <c r="H126" s="103">
        <f t="shared" si="15"/>
        <v>88.423724903536566</v>
      </c>
      <c r="I126" s="144">
        <f t="shared" si="16"/>
        <v>15793.627580365768</v>
      </c>
      <c r="J126" s="144">
        <f t="shared" si="17"/>
        <v>-409.69687719335707</v>
      </c>
      <c r="K126" s="144"/>
      <c r="L126" s="144"/>
      <c r="M126" s="144"/>
      <c r="N126" s="144"/>
      <c r="O126" s="160"/>
    </row>
    <row r="127" spans="1:15">
      <c r="A127" s="64">
        <v>117</v>
      </c>
      <c r="B127" s="160">
        <f t="shared" si="11"/>
        <v>40000</v>
      </c>
      <c r="C127" s="103">
        <f t="shared" si="12"/>
        <v>41225.32026117637</v>
      </c>
      <c r="D127" s="103">
        <f t="shared" si="18"/>
        <v>24472.242312308816</v>
      </c>
      <c r="E127" s="103">
        <f t="shared" si="19"/>
        <v>18910.06524188368</v>
      </c>
      <c r="F127" s="103">
        <f t="shared" si="13"/>
        <v>138.11656477221234</v>
      </c>
      <c r="G127" s="103">
        <f t="shared" si="14"/>
        <v>76.287810873657023</v>
      </c>
      <c r="H127" s="103">
        <f t="shared" si="15"/>
        <v>88.444146737039844</v>
      </c>
      <c r="I127" s="144">
        <f t="shared" si="16"/>
        <v>15527.757687691184</v>
      </c>
      <c r="J127" s="144">
        <f t="shared" si="17"/>
        <v>-1225.3202611763663</v>
      </c>
      <c r="K127" s="144"/>
      <c r="L127" s="144"/>
      <c r="M127" s="144"/>
      <c r="N127" s="144"/>
      <c r="O127" s="160"/>
    </row>
    <row r="128" spans="1:15">
      <c r="A128" s="64">
        <v>118</v>
      </c>
      <c r="B128" s="160">
        <f t="shared" si="11"/>
        <v>40000</v>
      </c>
      <c r="C128" s="103">
        <f t="shared" si="12"/>
        <v>41821.735815543565</v>
      </c>
      <c r="D128" s="103">
        <f t="shared" si="18"/>
        <v>24742.437825268593</v>
      </c>
      <c r="E128" s="103">
        <f t="shared" si="19"/>
        <v>19510.565162951538</v>
      </c>
      <c r="F128" s="103">
        <f t="shared" si="13"/>
        <v>136.74683732284606</v>
      </c>
      <c r="G128" s="103">
        <f t="shared" si="14"/>
        <v>74.937559160867053</v>
      </c>
      <c r="H128" s="103">
        <f t="shared" si="15"/>
        <v>88.463672002242973</v>
      </c>
      <c r="I128" s="144">
        <f t="shared" si="16"/>
        <v>15257.562174731405</v>
      </c>
      <c r="J128" s="144">
        <f t="shared" si="17"/>
        <v>-1821.7358155435686</v>
      </c>
      <c r="K128" s="144"/>
      <c r="L128" s="144"/>
      <c r="M128" s="144"/>
      <c r="N128" s="144"/>
      <c r="O128" s="160"/>
    </row>
    <row r="129" spans="1:15">
      <c r="A129" s="64">
        <v>119</v>
      </c>
      <c r="B129" s="160">
        <f t="shared" si="11"/>
        <v>40000</v>
      </c>
      <c r="C129" s="103">
        <f t="shared" si="12"/>
        <v>42184.149005502783</v>
      </c>
      <c r="D129" s="103">
        <f t="shared" si="18"/>
        <v>25012.488167826588</v>
      </c>
      <c r="E129" s="103">
        <f t="shared" si="19"/>
        <v>19876.883405951379</v>
      </c>
      <c r="F129" s="103">
        <f t="shared" si="13"/>
        <v>135.37477949487896</v>
      </c>
      <c r="G129" s="103">
        <f t="shared" si="14"/>
        <v>73.61084842639471</v>
      </c>
      <c r="H129" s="103">
        <f t="shared" si="15"/>
        <v>88.482340060681096</v>
      </c>
      <c r="I129" s="144">
        <f t="shared" si="16"/>
        <v>14987.51183217341</v>
      </c>
      <c r="J129" s="144">
        <f t="shared" si="17"/>
        <v>-2184.1490055027862</v>
      </c>
      <c r="K129" s="144"/>
      <c r="L129" s="144"/>
      <c r="M129" s="144"/>
      <c r="N129" s="144"/>
      <c r="O129" s="160"/>
    </row>
    <row r="130" spans="1:15">
      <c r="A130" s="64">
        <v>120</v>
      </c>
      <c r="B130" s="160">
        <f t="shared" si="11"/>
        <v>40000</v>
      </c>
      <c r="C130" s="103">
        <f t="shared" si="12"/>
        <v>42303.531987863782</v>
      </c>
      <c r="D130" s="103">
        <f t="shared" si="18"/>
        <v>25277.830314721057</v>
      </c>
      <c r="E130" s="103">
        <f t="shared" si="19"/>
        <v>20000</v>
      </c>
      <c r="F130" s="103">
        <f t="shared" si="13"/>
        <v>134.02417511695509</v>
      </c>
      <c r="G130" s="103">
        <f t="shared" si="14"/>
        <v>72.330372154016416</v>
      </c>
      <c r="H130" s="103">
        <f t="shared" si="15"/>
        <v>88.500188545821928</v>
      </c>
      <c r="I130" s="144">
        <f t="shared" si="16"/>
        <v>14722.169685278943</v>
      </c>
      <c r="J130" s="144">
        <f t="shared" si="17"/>
        <v>-2303.531987863782</v>
      </c>
      <c r="K130" s="144"/>
      <c r="L130" s="144"/>
      <c r="M130" s="144"/>
      <c r="N130" s="144"/>
      <c r="O130" s="160"/>
    </row>
    <row r="131" spans="1:15">
      <c r="A131" s="64">
        <v>121</v>
      </c>
      <c r="B131" s="160">
        <f t="shared" si="11"/>
        <v>40000</v>
      </c>
      <c r="C131" s="103">
        <f t="shared" si="12"/>
        <v>42176.845696786993</v>
      </c>
      <c r="D131" s="103">
        <f t="shared" si="18"/>
        <v>25533.925569196719</v>
      </c>
      <c r="E131" s="103">
        <f t="shared" si="19"/>
        <v>19876.883405951379</v>
      </c>
      <c r="F131" s="103">
        <f t="shared" si="13"/>
        <v>132.71852368425363</v>
      </c>
      <c r="G131" s="103">
        <f t="shared" si="14"/>
        <v>71.118123288137525</v>
      </c>
      <c r="H131" s="103">
        <f t="shared" si="15"/>
        <v>88.517253438932201</v>
      </c>
      <c r="I131" s="144">
        <f t="shared" si="16"/>
        <v>14466.074430803283</v>
      </c>
      <c r="J131" s="144">
        <f t="shared" si="17"/>
        <v>-2176.8456967869934</v>
      </c>
      <c r="K131" s="144"/>
      <c r="L131" s="144"/>
      <c r="M131" s="144"/>
      <c r="N131" s="144"/>
      <c r="O131" s="160"/>
    </row>
    <row r="132" spans="1:15">
      <c r="A132" s="64">
        <v>122</v>
      </c>
      <c r="B132" s="160">
        <f t="shared" si="11"/>
        <v>40000</v>
      </c>
      <c r="C132" s="103">
        <f t="shared" si="12"/>
        <v>41807.114475165101</v>
      </c>
      <c r="D132" s="103">
        <f t="shared" si="18"/>
        <v>25776.375342372496</v>
      </c>
      <c r="E132" s="103">
        <f t="shared" si="19"/>
        <v>19510.565162951538</v>
      </c>
      <c r="F132" s="103">
        <f t="shared" si="13"/>
        <v>131.48045577361805</v>
      </c>
      <c r="G132" s="103">
        <f t="shared" si="14"/>
        <v>69.994833469345977</v>
      </c>
      <c r="H132" s="103">
        <f t="shared" si="15"/>
        <v>88.533569141613242</v>
      </c>
      <c r="I132" s="144">
        <f t="shared" si="16"/>
        <v>14223.624657627504</v>
      </c>
      <c r="J132" s="144">
        <f t="shared" si="17"/>
        <v>-1807.1144751650972</v>
      </c>
      <c r="K132" s="144"/>
      <c r="L132" s="144"/>
      <c r="M132" s="144"/>
      <c r="N132" s="144"/>
      <c r="O132" s="160"/>
    </row>
    <row r="133" spans="1:15">
      <c r="A133" s="64">
        <v>123</v>
      </c>
      <c r="B133" s="160">
        <f t="shared" si="11"/>
        <v>40000</v>
      </c>
      <c r="C133" s="103">
        <f t="shared" si="12"/>
        <v>41203.351413561031</v>
      </c>
      <c r="D133" s="103">
        <f t="shared" si="18"/>
        <v>26001.033306130805</v>
      </c>
      <c r="E133" s="103">
        <f t="shared" si="19"/>
        <v>18910.065241883676</v>
      </c>
      <c r="F133" s="103">
        <f t="shared" si="13"/>
        <v>130.3311699994436</v>
      </c>
      <c r="G133" s="103">
        <f t="shared" si="14"/>
        <v>68.979444171483607</v>
      </c>
      <c r="H133" s="103">
        <f t="shared" si="15"/>
        <v>88.549168545152185</v>
      </c>
      <c r="I133" s="144">
        <f t="shared" si="16"/>
        <v>13998.966693869195</v>
      </c>
      <c r="J133" s="144">
        <f t="shared" si="17"/>
        <v>-1203.3514135610276</v>
      </c>
      <c r="K133" s="144"/>
      <c r="L133" s="144"/>
      <c r="M133" s="144"/>
      <c r="N133" s="144"/>
      <c r="O133" s="160"/>
    </row>
    <row r="134" spans="1:15">
      <c r="A134" s="64">
        <v>124</v>
      </c>
      <c r="B134" s="160">
        <f t="shared" si="11"/>
        <v>40000</v>
      </c>
      <c r="C134" s="103">
        <f t="shared" si="12"/>
        <v>40380.336234719041</v>
      </c>
      <c r="D134" s="103">
        <f t="shared" si="18"/>
        <v>26204.111165703278</v>
      </c>
      <c r="E134" s="103">
        <f t="shared" si="19"/>
        <v>18090.169943749475</v>
      </c>
      <c r="F134" s="103">
        <f t="shared" si="13"/>
        <v>129.28990537079869</v>
      </c>
      <c r="G134" s="103">
        <f t="shared" si="14"/>
        <v>68.088622725540489</v>
      </c>
      <c r="H134" s="103">
        <f t="shared" si="15"/>
        <v>88.56408309682844</v>
      </c>
      <c r="I134" s="144">
        <f t="shared" si="16"/>
        <v>13795.888834296722</v>
      </c>
      <c r="J134" s="144">
        <f t="shared" si="17"/>
        <v>-380.33623471903775</v>
      </c>
      <c r="K134" s="144"/>
      <c r="L134" s="144"/>
      <c r="M134" s="144"/>
      <c r="N134" s="144"/>
      <c r="O134" s="160"/>
    </row>
    <row r="135" spans="1:15">
      <c r="A135" s="64">
        <v>125</v>
      </c>
      <c r="B135" s="160">
        <f t="shared" si="11"/>
        <v>40000</v>
      </c>
      <c r="C135" s="103">
        <f t="shared" si="12"/>
        <v>39358.251192499789</v>
      </c>
      <c r="D135" s="103">
        <f t="shared" si="18"/>
        <v>26382.275454891904</v>
      </c>
      <c r="E135" s="103">
        <f t="shared" si="19"/>
        <v>17071.067811865476</v>
      </c>
      <c r="F135" s="103">
        <f t="shared" si="13"/>
        <v>128.37346203864601</v>
      </c>
      <c r="G135" s="103">
        <f t="shared" si="14"/>
        <v>67.336335112042093</v>
      </c>
      <c r="H135" s="103">
        <f t="shared" si="15"/>
        <v>88.578342863309146</v>
      </c>
      <c r="I135" s="144">
        <f t="shared" si="16"/>
        <v>13617.724545108098</v>
      </c>
      <c r="J135" s="144">
        <f t="shared" si="17"/>
        <v>641.74880750021111</v>
      </c>
      <c r="K135" s="144"/>
      <c r="L135" s="144"/>
      <c r="M135" s="144"/>
      <c r="N135" s="144"/>
      <c r="O135" s="160"/>
    </row>
    <row r="136" spans="1:15">
      <c r="A136" s="64">
        <v>126</v>
      </c>
      <c r="B136" s="160">
        <f t="shared" si="11"/>
        <v>40000</v>
      </c>
      <c r="C136" s="103">
        <f t="shared" si="12"/>
        <v>38162.183950262894</v>
      </c>
      <c r="D136" s="103">
        <f t="shared" si="18"/>
        <v>26532.732977591582</v>
      </c>
      <c r="E136" s="103">
        <f t="shared" si="19"/>
        <v>15877.852522924724</v>
      </c>
      <c r="F136" s="103">
        <f t="shared" si="13"/>
        <v>127.59578223058884</v>
      </c>
      <c r="G136" s="103">
        <f t="shared" si="14"/>
        <v>66.733486007325638</v>
      </c>
      <c r="H136" s="103">
        <f t="shared" si="15"/>
        <v>88.591976591261442</v>
      </c>
      <c r="I136" s="144">
        <f t="shared" si="16"/>
        <v>13467.267022408418</v>
      </c>
      <c r="J136" s="144">
        <f t="shared" si="17"/>
        <v>1837.8160497371064</v>
      </c>
      <c r="K136" s="144"/>
      <c r="L136" s="144"/>
      <c r="M136" s="144"/>
      <c r="N136" s="144"/>
      <c r="O136" s="160"/>
    </row>
    <row r="137" spans="1:15">
      <c r="A137" s="64">
        <v>127</v>
      </c>
      <c r="B137" s="160">
        <f t="shared" si="11"/>
        <v>40000</v>
      </c>
      <c r="C137" s="103">
        <f t="shared" si="12"/>
        <v>36821.509679143179</v>
      </c>
      <c r="D137" s="103">
        <f t="shared" si="18"/>
        <v>26653.302798534874</v>
      </c>
      <c r="E137" s="103">
        <f t="shared" si="19"/>
        <v>14539.90499739547</v>
      </c>
      <c r="F137" s="103">
        <f t="shared" si="13"/>
        <v>126.96760168863347</v>
      </c>
      <c r="G137" s="103">
        <f t="shared" si="14"/>
        <v>66.287634914575207</v>
      </c>
      <c r="H137" s="103">
        <f t="shared" si="15"/>
        <v>88.60501176530363</v>
      </c>
      <c r="I137" s="144">
        <f t="shared" si="16"/>
        <v>13346.697201465127</v>
      </c>
      <c r="J137" s="144">
        <f t="shared" si="17"/>
        <v>3178.4903208568194</v>
      </c>
      <c r="K137" s="144"/>
      <c r="L137" s="144"/>
      <c r="M137" s="144"/>
      <c r="N137" s="144"/>
      <c r="O137" s="160"/>
    </row>
    <row r="138" spans="1:15">
      <c r="A138" s="64">
        <v>128</v>
      </c>
      <c r="B138" s="160">
        <f t="shared" si="11"/>
        <v>40000</v>
      </c>
      <c r="C138" s="103">
        <f t="shared" si="12"/>
        <v>35369.167590688754</v>
      </c>
      <c r="D138" s="103">
        <f t="shared" ref="D138:D169" si="20">B138-I138</f>
        <v>26742.473017084958</v>
      </c>
      <c r="E138" s="103">
        <f t="shared" si="19"/>
        <v>13090.169943749475</v>
      </c>
      <c r="F138" s="103">
        <f t="shared" si="13"/>
        <v>126.4961801895205</v>
      </c>
      <c r="G138" s="103">
        <f t="shared" si="14"/>
        <v>66.002795338447569</v>
      </c>
      <c r="H138" s="103">
        <f t="shared" si="15"/>
        <v>88.617474663412267</v>
      </c>
      <c r="I138" s="144">
        <f t="shared" si="16"/>
        <v>13257.526982915042</v>
      </c>
      <c r="J138" s="144">
        <f t="shared" si="17"/>
        <v>4630.8324093112496</v>
      </c>
      <c r="K138" s="144"/>
      <c r="L138" s="144"/>
      <c r="M138" s="144"/>
      <c r="N138" s="144"/>
      <c r="O138" s="160"/>
    </row>
    <row r="139" spans="1:15">
      <c r="A139" s="64">
        <v>129</v>
      </c>
      <c r="B139" s="160">
        <f t="shared" ref="B139:B178" si="21">$D$2</f>
        <v>40000</v>
      </c>
      <c r="C139" s="103">
        <f t="shared" ref="C139:C178" si="22">B139-J139</f>
        <v>33840.849717719859</v>
      </c>
      <c r="D139" s="103">
        <f t="shared" si="20"/>
        <v>26799.440932310485</v>
      </c>
      <c r="E139" s="103">
        <f t="shared" si="19"/>
        <v>11564.344650402309</v>
      </c>
      <c r="F139" s="103">
        <f t="shared" ref="F139:F178" si="23">($D$2*$D$4/$D$1-E139*$D$4/$D$1+F138)*$J$5</f>
        <v>126.18511777998077</v>
      </c>
      <c r="G139" s="103">
        <f t="shared" ref="G139:G178" si="24">(D139*$D$4/$D$1-E139*$D$4/$D$1+G138)*$J$5</f>
        <v>65.879321918671607</v>
      </c>
      <c r="H139" s="103">
        <f t="shared" ref="H139:H178" si="25">(C139*$D$4/$D$1-E139*$D$4/$D$1+H138)*$J$5</f>
        <v>88.629390409896615</v>
      </c>
      <c r="I139" s="144">
        <f t="shared" ref="I139:I178" si="26">$O$5*G138</f>
        <v>13200.559067689514</v>
      </c>
      <c r="J139" s="144">
        <f t="shared" ref="J139:J178" si="27">$O$5*H138-E139</f>
        <v>6159.1502822801449</v>
      </c>
      <c r="K139" s="144"/>
      <c r="L139" s="144"/>
      <c r="M139" s="144"/>
      <c r="N139" s="144"/>
      <c r="O139" s="160"/>
    </row>
    <row r="140" spans="1:15">
      <c r="A140" s="64">
        <v>130</v>
      </c>
      <c r="B140" s="160">
        <f t="shared" si="21"/>
        <v>40000</v>
      </c>
      <c r="C140" s="103">
        <f t="shared" si="22"/>
        <v>32274.121918020675</v>
      </c>
      <c r="D140" s="103">
        <f t="shared" si="20"/>
        <v>26824.135616265681</v>
      </c>
      <c r="E140" s="103">
        <f t="shared" si="19"/>
        <v>10000.000000000002</v>
      </c>
      <c r="F140" s="103">
        <f t="shared" si="23"/>
        <v>126.03426124876174</v>
      </c>
      <c r="G140" s="103">
        <f t="shared" si="24"/>
        <v>65.913888273461652</v>
      </c>
      <c r="H140" s="103">
        <f t="shared" si="25"/>
        <v>88.640783026047515</v>
      </c>
      <c r="I140" s="144">
        <f t="shared" si="26"/>
        <v>13175.864383734321</v>
      </c>
      <c r="J140" s="144">
        <f t="shared" si="27"/>
        <v>7725.8780819793228</v>
      </c>
      <c r="K140" s="144"/>
      <c r="L140" s="144"/>
      <c r="M140" s="144"/>
      <c r="N140" s="144"/>
      <c r="O140" s="160"/>
    </row>
    <row r="141" spans="1:15">
      <c r="A141" s="64">
        <v>131</v>
      </c>
      <c r="B141" s="160">
        <f t="shared" si="21"/>
        <v>40000</v>
      </c>
      <c r="C141" s="103">
        <f t="shared" si="22"/>
        <v>30707.498744388191</v>
      </c>
      <c r="D141" s="103">
        <f t="shared" si="20"/>
        <v>26817.222345307669</v>
      </c>
      <c r="E141" s="103">
        <f t="shared" si="19"/>
        <v>8435.6553495976932</v>
      </c>
      <c r="F141" s="103">
        <f t="shared" si="23"/>
        <v>126.03970313541657</v>
      </c>
      <c r="G141" s="103">
        <f t="shared" si="24"/>
        <v>66.099556071251371</v>
      </c>
      <c r="H141" s="103">
        <f t="shared" si="25"/>
        <v>88.65167547856251</v>
      </c>
      <c r="I141" s="144">
        <f t="shared" si="26"/>
        <v>13182.777654692331</v>
      </c>
      <c r="J141" s="144">
        <f t="shared" si="27"/>
        <v>9292.5012556118108</v>
      </c>
      <c r="K141" s="144"/>
      <c r="L141" s="144"/>
      <c r="M141" s="144"/>
      <c r="N141" s="144"/>
      <c r="O141" s="160"/>
    </row>
    <row r="142" spans="1:15">
      <c r="A142" s="64">
        <v>132</v>
      </c>
      <c r="B142" s="160">
        <f t="shared" si="21"/>
        <v>40000</v>
      </c>
      <c r="C142" s="103">
        <f t="shared" si="22"/>
        <v>29179.494960538028</v>
      </c>
      <c r="D142" s="103">
        <f t="shared" si="20"/>
        <v>26780.088785749726</v>
      </c>
      <c r="E142" s="103">
        <f t="shared" si="19"/>
        <v>6909.8300562505274</v>
      </c>
      <c r="F142" s="103">
        <f t="shared" si="23"/>
        <v>126.1938732973576</v>
      </c>
      <c r="G142" s="103">
        <f t="shared" si="24"/>
        <v>66.425933604098816</v>
      </c>
      <c r="H142" s="103">
        <f t="shared" si="25"/>
        <v>88.662089725845135</v>
      </c>
      <c r="I142" s="144">
        <f t="shared" si="26"/>
        <v>13219.911214250274</v>
      </c>
      <c r="J142" s="144">
        <f t="shared" si="27"/>
        <v>10820.505039461972</v>
      </c>
      <c r="K142" s="144"/>
      <c r="L142" s="144"/>
      <c r="M142" s="144"/>
      <c r="N142" s="144"/>
      <c r="O142" s="160"/>
    </row>
    <row r="143" spans="1:15">
      <c r="A143" s="64">
        <v>133</v>
      </c>
      <c r="B143" s="160">
        <f t="shared" si="21"/>
        <v>40000</v>
      </c>
      <c r="C143" s="103">
        <f t="shared" si="22"/>
        <v>27727.677057435496</v>
      </c>
      <c r="D143" s="103">
        <f t="shared" si="20"/>
        <v>26714.813279180235</v>
      </c>
      <c r="E143" s="103">
        <f t="shared" si="19"/>
        <v>5460.0950026045257</v>
      </c>
      <c r="F143" s="103">
        <f t="shared" si="23"/>
        <v>126.48572077765577</v>
      </c>
      <c r="G143" s="103">
        <f t="shared" si="24"/>
        <v>66.879419933420877</v>
      </c>
      <c r="H143" s="103">
        <f t="shared" si="25"/>
        <v>88.672046762271449</v>
      </c>
      <c r="I143" s="144">
        <f t="shared" si="26"/>
        <v>13285.186720819764</v>
      </c>
      <c r="J143" s="144">
        <f t="shared" si="27"/>
        <v>12272.322942564504</v>
      </c>
      <c r="K143" s="144"/>
      <c r="L143" s="144"/>
      <c r="M143" s="144"/>
      <c r="N143" s="144"/>
      <c r="O143" s="160"/>
    </row>
    <row r="144" spans="1:15">
      <c r="A144" s="64">
        <v>134</v>
      </c>
      <c r="B144" s="160">
        <f t="shared" si="21"/>
        <v>40000</v>
      </c>
      <c r="C144" s="103">
        <f t="shared" si="22"/>
        <v>26387.73812462097</v>
      </c>
      <c r="D144" s="103">
        <f t="shared" si="20"/>
        <v>26624.116013315826</v>
      </c>
      <c r="E144" s="103">
        <f t="shared" si="19"/>
        <v>4122.1474770752629</v>
      </c>
      <c r="F144" s="103">
        <f t="shared" si="23"/>
        <v>126.90098149263245</v>
      </c>
      <c r="G144" s="103">
        <f t="shared" si="24"/>
        <v>67.443528572726777</v>
      </c>
      <c r="H144" s="103">
        <f t="shared" si="25"/>
        <v>88.681566660513198</v>
      </c>
      <c r="I144" s="144">
        <f t="shared" si="26"/>
        <v>13375.883986684175</v>
      </c>
      <c r="J144" s="144">
        <f t="shared" si="27"/>
        <v>13612.261875379028</v>
      </c>
      <c r="K144" s="144"/>
      <c r="L144" s="144"/>
      <c r="M144" s="144"/>
      <c r="N144" s="144"/>
      <c r="O144" s="160"/>
    </row>
    <row r="145" spans="1:15">
      <c r="A145" s="64">
        <v>135</v>
      </c>
      <c r="B145" s="160">
        <f t="shared" si="21"/>
        <v>40000</v>
      </c>
      <c r="C145" s="103">
        <f t="shared" si="22"/>
        <v>25192.618856031884</v>
      </c>
      <c r="D145" s="103">
        <f t="shared" si="20"/>
        <v>26511.294285454645</v>
      </c>
      <c r="E145" s="103">
        <f t="shared" si="19"/>
        <v>2928.9321881345263</v>
      </c>
      <c r="F145" s="103">
        <f t="shared" si="23"/>
        <v>127.42252514518927</v>
      </c>
      <c r="G145" s="103">
        <f t="shared" si="24"/>
        <v>68.099282714593954</v>
      </c>
      <c r="H145" s="103">
        <f t="shared" si="25"/>
        <v>88.690668612002867</v>
      </c>
      <c r="I145" s="144">
        <f t="shared" si="26"/>
        <v>13488.705714545355</v>
      </c>
      <c r="J145" s="144">
        <f t="shared" si="27"/>
        <v>14807.381143968114</v>
      </c>
      <c r="K145" s="144"/>
      <c r="L145" s="144"/>
      <c r="M145" s="144"/>
      <c r="N145" s="144"/>
      <c r="O145" s="160"/>
    </row>
    <row r="146" spans="1:15">
      <c r="A146" s="64">
        <v>136</v>
      </c>
      <c r="B146" s="160">
        <f t="shared" si="21"/>
        <v>40000</v>
      </c>
      <c r="C146" s="103">
        <f t="shared" si="22"/>
        <v>24171.696333849955</v>
      </c>
      <c r="D146" s="103">
        <f t="shared" si="20"/>
        <v>26380.143457081209</v>
      </c>
      <c r="E146" s="103">
        <f t="shared" si="19"/>
        <v>1909.8300562505267</v>
      </c>
      <c r="F146" s="103">
        <f t="shared" si="23"/>
        <v>128.03077281908705</v>
      </c>
      <c r="G146" s="103">
        <f t="shared" si="24"/>
        <v>68.825672248465395</v>
      </c>
      <c r="H146" s="103">
        <f t="shared" si="25"/>
        <v>88.699370965622265</v>
      </c>
      <c r="I146" s="144">
        <f t="shared" si="26"/>
        <v>13619.856542918791</v>
      </c>
      <c r="J146" s="144">
        <f t="shared" si="27"/>
        <v>15828.303666150046</v>
      </c>
      <c r="K146" s="144"/>
      <c r="L146" s="144"/>
      <c r="M146" s="144"/>
      <c r="N146" s="144"/>
      <c r="O146" s="160"/>
    </row>
    <row r="147" spans="1:15">
      <c r="A147" s="64">
        <v>137</v>
      </c>
      <c r="B147" s="160">
        <f t="shared" si="21"/>
        <v>40000</v>
      </c>
      <c r="C147" s="103">
        <f t="shared" si="22"/>
        <v>23350.060564991869</v>
      </c>
      <c r="D147" s="103">
        <f t="shared" si="20"/>
        <v>26234.86555030692</v>
      </c>
      <c r="E147" s="103">
        <f t="shared" si="19"/>
        <v>1089.9347581163188</v>
      </c>
      <c r="F147" s="103">
        <f t="shared" si="23"/>
        <v>128.70417496904918</v>
      </c>
      <c r="G147" s="103">
        <f t="shared" si="24"/>
        <v>69.600161295301916</v>
      </c>
      <c r="H147" s="103">
        <f t="shared" si="25"/>
        <v>88.707691264692514</v>
      </c>
      <c r="I147" s="144">
        <f t="shared" si="26"/>
        <v>13765.13444969308</v>
      </c>
      <c r="J147" s="144">
        <f t="shared" si="27"/>
        <v>16649.939435008131</v>
      </c>
      <c r="K147" s="144"/>
      <c r="L147" s="144"/>
      <c r="M147" s="144"/>
      <c r="N147" s="144"/>
      <c r="O147" s="160"/>
    </row>
    <row r="148" spans="1:15">
      <c r="A148" s="64">
        <v>138</v>
      </c>
      <c r="B148" s="160">
        <f t="shared" si="21"/>
        <v>40000</v>
      </c>
      <c r="C148" s="103">
        <f t="shared" si="22"/>
        <v>22747.896584109963</v>
      </c>
      <c r="D148" s="103">
        <f t="shared" si="20"/>
        <v>26079.967740939617</v>
      </c>
      <c r="E148" s="103">
        <f t="shared" si="19"/>
        <v>489.43483704846471</v>
      </c>
      <c r="F148" s="103">
        <f t="shared" si="23"/>
        <v>129.41973803448229</v>
      </c>
      <c r="G148" s="103">
        <f t="shared" si="24"/>
        <v>70.399233742137596</v>
      </c>
      <c r="H148" s="103">
        <f t="shared" si="25"/>
        <v>88.71564628234016</v>
      </c>
      <c r="I148" s="144">
        <f t="shared" si="26"/>
        <v>13920.032259060383</v>
      </c>
      <c r="J148" s="144">
        <f t="shared" si="27"/>
        <v>17252.103415890037</v>
      </c>
      <c r="K148" s="144"/>
      <c r="L148" s="144"/>
      <c r="M148" s="144"/>
      <c r="N148" s="144"/>
      <c r="O148" s="160"/>
    </row>
    <row r="149" spans="1:15">
      <c r="A149" s="64">
        <v>139</v>
      </c>
      <c r="B149" s="160">
        <f t="shared" si="21"/>
        <v>40000</v>
      </c>
      <c r="C149" s="103">
        <f t="shared" si="22"/>
        <v>22379.987337580591</v>
      </c>
      <c r="D149" s="103">
        <f t="shared" si="20"/>
        <v>25920.153251572483</v>
      </c>
      <c r="E149" s="103">
        <f t="shared" si="19"/>
        <v>123.11659404862341</v>
      </c>
      <c r="F149" s="103">
        <f t="shared" si="23"/>
        <v>130.15358670739261</v>
      </c>
      <c r="G149" s="103">
        <f t="shared" si="24"/>
        <v>71.19896332477073</v>
      </c>
      <c r="H149" s="103">
        <f t="shared" si="25"/>
        <v>88.72325205531061</v>
      </c>
      <c r="I149" s="144">
        <f t="shared" si="26"/>
        <v>14079.846748427519</v>
      </c>
      <c r="J149" s="144">
        <f t="shared" si="27"/>
        <v>17620.012662419409</v>
      </c>
      <c r="K149" s="144"/>
      <c r="L149" s="144"/>
      <c r="M149" s="144"/>
      <c r="N149" s="144"/>
      <c r="O149" s="160"/>
    </row>
    <row r="150" spans="1:15">
      <c r="A150" s="64">
        <v>140</v>
      </c>
      <c r="B150" s="160">
        <f t="shared" si="21"/>
        <v>40000</v>
      </c>
      <c r="C150" s="103">
        <f t="shared" si="22"/>
        <v>22255.349588937879</v>
      </c>
      <c r="D150" s="103">
        <f t="shared" si="20"/>
        <v>25760.207335045852</v>
      </c>
      <c r="E150" s="103">
        <f t="shared" si="19"/>
        <v>0</v>
      </c>
      <c r="F150" s="103">
        <f t="shared" si="23"/>
        <v>130.8815480072123</v>
      </c>
      <c r="G150" s="103">
        <f t="shared" si="24"/>
        <v>71.975594203195442</v>
      </c>
      <c r="H150" s="103">
        <f t="shared" si="25"/>
        <v>88.730523916296988</v>
      </c>
      <c r="I150" s="144">
        <f t="shared" si="26"/>
        <v>14239.792664954146</v>
      </c>
      <c r="J150" s="144">
        <f t="shared" si="27"/>
        <v>17744.650411062121</v>
      </c>
      <c r="K150" s="144"/>
      <c r="L150" s="144"/>
      <c r="M150" s="144"/>
      <c r="N150" s="144"/>
      <c r="O150" s="160"/>
    </row>
    <row r="151" spans="1:15">
      <c r="A151" s="64">
        <v>141</v>
      </c>
      <c r="B151" s="160">
        <f t="shared" si="21"/>
        <v>40000</v>
      </c>
      <c r="C151" s="103">
        <f t="shared" si="22"/>
        <v>22253.895216740602</v>
      </c>
      <c r="D151" s="103">
        <f t="shared" si="20"/>
        <v>25604.881159360913</v>
      </c>
      <c r="E151" s="103">
        <v>0</v>
      </c>
      <c r="F151" s="103">
        <f t="shared" si="23"/>
        <v>131.59175415337788</v>
      </c>
      <c r="G151" s="103">
        <f t="shared" si="24"/>
        <v>72.71812909183565</v>
      </c>
      <c r="H151" s="103">
        <f t="shared" si="25"/>
        <v>88.737476524849811</v>
      </c>
      <c r="I151" s="144">
        <f t="shared" si="26"/>
        <v>14395.118840639088</v>
      </c>
      <c r="J151" s="144">
        <f t="shared" si="27"/>
        <v>17746.104783259398</v>
      </c>
      <c r="K151" s="144"/>
      <c r="L151" s="144"/>
      <c r="M151" s="144"/>
      <c r="N151" s="144"/>
      <c r="O151" s="160"/>
    </row>
    <row r="152" spans="1:15">
      <c r="A152" s="64">
        <v>142</v>
      </c>
      <c r="B152" s="160">
        <f t="shared" si="21"/>
        <v>40000</v>
      </c>
      <c r="C152" s="103">
        <f t="shared" si="22"/>
        <v>22252.504695030038</v>
      </c>
      <c r="D152" s="103">
        <f t="shared" si="20"/>
        <v>25456.374181632869</v>
      </c>
      <c r="E152" s="103">
        <v>0</v>
      </c>
      <c r="F152" s="103">
        <f t="shared" si="23"/>
        <v>132.28463819841744</v>
      </c>
      <c r="G152" s="103">
        <f t="shared" si="24"/>
        <v>73.428064887803842</v>
      </c>
      <c r="H152" s="103">
        <f t="shared" si="25"/>
        <v>88.744123896929594</v>
      </c>
      <c r="I152" s="144">
        <f t="shared" si="26"/>
        <v>14543.625818367131</v>
      </c>
      <c r="J152" s="144">
        <f t="shared" si="27"/>
        <v>17747.495304969962</v>
      </c>
      <c r="K152" s="144"/>
      <c r="L152" s="144"/>
      <c r="M152" s="144"/>
      <c r="N152" s="144"/>
      <c r="O152" s="160"/>
    </row>
    <row r="153" spans="1:15">
      <c r="A153" s="64">
        <v>143</v>
      </c>
      <c r="B153" s="160">
        <f t="shared" si="21"/>
        <v>40000</v>
      </c>
      <c r="C153" s="103">
        <f t="shared" si="22"/>
        <v>22251.175220614081</v>
      </c>
      <c r="D153" s="103">
        <f t="shared" si="20"/>
        <v>25314.38702243923</v>
      </c>
      <c r="E153" s="103">
        <v>0</v>
      </c>
      <c r="F153" s="103">
        <f t="shared" si="23"/>
        <v>132.96062263260239</v>
      </c>
      <c r="G153" s="103">
        <f t="shared" si="24"/>
        <v>74.106832770778311</v>
      </c>
      <c r="H153" s="103">
        <f t="shared" si="25"/>
        <v>88.750479433161956</v>
      </c>
      <c r="I153" s="144">
        <f t="shared" si="26"/>
        <v>14685.612977560768</v>
      </c>
      <c r="J153" s="144">
        <f t="shared" si="27"/>
        <v>17748.824779385919</v>
      </c>
      <c r="K153" s="144"/>
      <c r="L153" s="144"/>
      <c r="M153" s="144"/>
      <c r="N153" s="144"/>
      <c r="O153" s="160"/>
    </row>
    <row r="154" spans="1:15">
      <c r="A154" s="64">
        <v>144</v>
      </c>
      <c r="B154" s="160">
        <f t="shared" si="21"/>
        <v>40000</v>
      </c>
      <c r="C154" s="103">
        <f t="shared" si="22"/>
        <v>22249.904113367607</v>
      </c>
      <c r="D154" s="103">
        <f t="shared" si="20"/>
        <v>25178.633445844338</v>
      </c>
      <c r="E154" s="103">
        <v>0</v>
      </c>
      <c r="F154" s="103">
        <f t="shared" si="23"/>
        <v>133.62011964156332</v>
      </c>
      <c r="G154" s="103">
        <f t="shared" si="24"/>
        <v>74.75580108815879</v>
      </c>
      <c r="H154" s="103">
        <f t="shared" si="25"/>
        <v>88.756555945852412</v>
      </c>
      <c r="I154" s="144">
        <f t="shared" si="26"/>
        <v>14821.366554155662</v>
      </c>
      <c r="J154" s="144">
        <f t="shared" si="27"/>
        <v>17750.095886632393</v>
      </c>
      <c r="K154" s="144"/>
      <c r="L154" s="144"/>
      <c r="M154" s="144"/>
      <c r="N154" s="144"/>
      <c r="O154" s="160"/>
    </row>
    <row r="155" spans="1:15">
      <c r="A155" s="64">
        <v>145</v>
      </c>
      <c r="B155" s="160">
        <f t="shared" si="21"/>
        <v>40000</v>
      </c>
      <c r="C155" s="103">
        <f t="shared" si="22"/>
        <v>22248.688810829517</v>
      </c>
      <c r="D155" s="103">
        <f t="shared" si="20"/>
        <v>25048.839782368243</v>
      </c>
      <c r="E155" s="103">
        <v>0</v>
      </c>
      <c r="F155" s="103">
        <f t="shared" si="23"/>
        <v>134.26353135762275</v>
      </c>
      <c r="G155" s="103">
        <f t="shared" si="24"/>
        <v>75.376278113556694</v>
      </c>
      <c r="H155" s="103">
        <f t="shared" si="25"/>
        <v>88.762365684814995</v>
      </c>
      <c r="I155" s="144">
        <f t="shared" si="26"/>
        <v>14951.160217631757</v>
      </c>
      <c r="J155" s="144">
        <f t="shared" si="27"/>
        <v>17751.311189170483</v>
      </c>
      <c r="K155" s="144"/>
      <c r="L155" s="144"/>
      <c r="M155" s="144"/>
      <c r="N155" s="144"/>
      <c r="O155" s="160"/>
    </row>
    <row r="156" spans="1:15">
      <c r="A156" s="64">
        <v>146</v>
      </c>
      <c r="B156" s="160">
        <f t="shared" si="21"/>
        <v>40000</v>
      </c>
      <c r="C156" s="103">
        <f t="shared" si="22"/>
        <v>22247.526863037001</v>
      </c>
      <c r="D156" s="103">
        <f t="shared" si="20"/>
        <v>24924.744377288662</v>
      </c>
      <c r="E156" s="103">
        <v>0</v>
      </c>
      <c r="F156" s="103">
        <f t="shared" si="23"/>
        <v>134.89125010499782</v>
      </c>
      <c r="G156" s="103">
        <f t="shared" si="24"/>
        <v>75.969514684181036</v>
      </c>
      <c r="H156" s="103">
        <f t="shared" si="25"/>
        <v>88.767920362067031</v>
      </c>
      <c r="I156" s="144">
        <f t="shared" si="26"/>
        <v>15075.255622711338</v>
      </c>
      <c r="J156" s="144">
        <f t="shared" si="27"/>
        <v>17752.473136962999</v>
      </c>
      <c r="K156" s="144"/>
      <c r="L156" s="144"/>
      <c r="M156" s="144"/>
      <c r="N156" s="144"/>
      <c r="O156" s="160"/>
    </row>
    <row r="157" spans="1:15">
      <c r="A157" s="64">
        <v>147</v>
      </c>
      <c r="B157" s="160">
        <f t="shared" si="21"/>
        <v>40000</v>
      </c>
      <c r="C157" s="103">
        <f t="shared" si="22"/>
        <v>22246.415927586593</v>
      </c>
      <c r="D157" s="103">
        <f t="shared" si="20"/>
        <v>24806.097063163794</v>
      </c>
      <c r="E157" s="103">
        <v>0</v>
      </c>
      <c r="F157" s="103">
        <f t="shared" si="23"/>
        <v>135.50365863902229</v>
      </c>
      <c r="G157" s="103">
        <f t="shared" si="24"/>
        <v>76.53670672243652</v>
      </c>
      <c r="H157" s="103">
        <f t="shared" si="25"/>
        <v>88.773231175439705</v>
      </c>
      <c r="I157" s="144">
        <f t="shared" si="26"/>
        <v>15193.902936836206</v>
      </c>
      <c r="J157" s="144">
        <f t="shared" si="27"/>
        <v>17753.584072413407</v>
      </c>
      <c r="K157" s="144"/>
      <c r="L157" s="144"/>
      <c r="M157" s="144"/>
      <c r="N157" s="144"/>
      <c r="O157" s="160"/>
    </row>
    <row r="158" spans="1:15">
      <c r="A158" s="64">
        <v>148</v>
      </c>
      <c r="B158" s="160">
        <f t="shared" si="21"/>
        <v>40000</v>
      </c>
      <c r="C158" s="103">
        <f t="shared" si="22"/>
        <v>22245.353764912059</v>
      </c>
      <c r="D158" s="103">
        <f t="shared" si="20"/>
        <v>24692.658655512696</v>
      </c>
      <c r="E158" s="103">
        <v>0</v>
      </c>
      <c r="F158" s="103">
        <f t="shared" si="23"/>
        <v>136.10113037953394</v>
      </c>
      <c r="G158" s="103">
        <f t="shared" si="24"/>
        <v>77.078997646817356</v>
      </c>
      <c r="H158" s="103">
        <f t="shared" si="25"/>
        <v>88.778308831152117</v>
      </c>
      <c r="I158" s="144">
        <f t="shared" si="26"/>
        <v>15307.341344487304</v>
      </c>
      <c r="J158" s="144">
        <f t="shared" si="27"/>
        <v>17754.646235087941</v>
      </c>
      <c r="K158" s="144"/>
      <c r="L158" s="144"/>
      <c r="M158" s="144"/>
      <c r="N158" s="144"/>
      <c r="O158" s="160"/>
    </row>
    <row r="159" spans="1:15">
      <c r="A159" s="64">
        <v>149</v>
      </c>
      <c r="B159" s="160">
        <f t="shared" si="21"/>
        <v>40000</v>
      </c>
      <c r="C159" s="103">
        <f t="shared" si="22"/>
        <v>22244.338233769577</v>
      </c>
      <c r="D159" s="103">
        <f t="shared" si="20"/>
        <v>24584.20047063653</v>
      </c>
      <c r="E159" s="103">
        <v>0</v>
      </c>
      <c r="F159" s="103">
        <f t="shared" si="23"/>
        <v>136.68402963856971</v>
      </c>
      <c r="G159" s="103">
        <f t="shared" si="24"/>
        <v>77.59748067695709</v>
      </c>
      <c r="H159" s="103">
        <f t="shared" si="25"/>
        <v>88.783163565394219</v>
      </c>
      <c r="I159" s="144">
        <f t="shared" si="26"/>
        <v>15415.79952936347</v>
      </c>
      <c r="J159" s="144">
        <f t="shared" si="27"/>
        <v>17755.661766230423</v>
      </c>
      <c r="K159" s="144"/>
      <c r="L159" s="144"/>
      <c r="M159" s="144"/>
      <c r="N159" s="144"/>
      <c r="O159" s="160"/>
    </row>
    <row r="160" spans="1:15">
      <c r="A160" s="64">
        <v>150</v>
      </c>
      <c r="B160" s="160">
        <f t="shared" si="21"/>
        <v>40000</v>
      </c>
      <c r="C160" s="103">
        <f t="shared" si="22"/>
        <v>22243.367286921155</v>
      </c>
      <c r="D160" s="103">
        <f t="shared" si="20"/>
        <v>24480.503864608581</v>
      </c>
      <c r="E160" s="103">
        <v>0</v>
      </c>
      <c r="F160" s="103">
        <f t="shared" si="23"/>
        <v>137.25271184250704</v>
      </c>
      <c r="G160" s="103">
        <f t="shared" si="24"/>
        <v>78.093201037480938</v>
      </c>
      <c r="H160" s="103">
        <f t="shared" si="25"/>
        <v>88.787805164962279</v>
      </c>
      <c r="I160" s="144">
        <f t="shared" si="26"/>
        <v>15519.496135391419</v>
      </c>
      <c r="J160" s="144">
        <f t="shared" si="27"/>
        <v>17756.632713078845</v>
      </c>
      <c r="K160" s="144"/>
      <c r="L160" s="144"/>
      <c r="M160" s="144"/>
      <c r="N160" s="144"/>
      <c r="O160" s="160"/>
    </row>
    <row r="161" spans="1:15">
      <c r="A161" s="64">
        <v>151</v>
      </c>
      <c r="B161" s="160">
        <f t="shared" si="21"/>
        <v>40000</v>
      </c>
      <c r="C161" s="103">
        <f t="shared" si="22"/>
        <v>22242.438967007543</v>
      </c>
      <c r="D161" s="103">
        <f t="shared" si="20"/>
        <v>24381.359792503812</v>
      </c>
      <c r="E161" s="103">
        <v>0</v>
      </c>
      <c r="F161" s="103">
        <f t="shared" si="23"/>
        <v>137.80752374878736</v>
      </c>
      <c r="G161" s="103">
        <f t="shared" si="24"/>
        <v>78.567158065103726</v>
      </c>
      <c r="H161" s="103">
        <f t="shared" si="25"/>
        <v>88.792242986988342</v>
      </c>
      <c r="I161" s="144">
        <f t="shared" si="26"/>
        <v>15618.640207496188</v>
      </c>
      <c r="J161" s="144">
        <f t="shared" si="27"/>
        <v>17757.561032992457</v>
      </c>
      <c r="K161" s="144"/>
      <c r="L161" s="144"/>
      <c r="M161" s="144"/>
      <c r="N161" s="144"/>
      <c r="O161" s="160"/>
    </row>
    <row r="162" spans="1:15">
      <c r="A162" s="64">
        <v>152</v>
      </c>
      <c r="B162" s="160">
        <f t="shared" si="21"/>
        <v>40000</v>
      </c>
      <c r="C162" s="103">
        <f t="shared" si="22"/>
        <v>22241.55140260233</v>
      </c>
      <c r="D162" s="103">
        <f t="shared" si="20"/>
        <v>24286.568386979256</v>
      </c>
      <c r="E162" s="103">
        <v>0</v>
      </c>
      <c r="F162" s="103">
        <f t="shared" si="23"/>
        <v>138.34880365735353</v>
      </c>
      <c r="G162" s="103">
        <f t="shared" si="24"/>
        <v>79.020307223221138</v>
      </c>
      <c r="H162" s="103">
        <f t="shared" si="25"/>
        <v>88.796485977803499</v>
      </c>
      <c r="I162" s="144">
        <f t="shared" si="26"/>
        <v>15713.431613020744</v>
      </c>
      <c r="J162" s="144">
        <f t="shared" si="27"/>
        <v>17758.44859739767</v>
      </c>
      <c r="K162" s="144"/>
      <c r="L162" s="144"/>
      <c r="M162" s="144"/>
      <c r="N162" s="144"/>
      <c r="O162" s="160"/>
    </row>
    <row r="163" spans="1:15">
      <c r="A163" s="64">
        <v>153</v>
      </c>
      <c r="B163" s="160">
        <f t="shared" si="21"/>
        <v>40000</v>
      </c>
      <c r="C163" s="103">
        <f t="shared" si="22"/>
        <v>22240.702804439301</v>
      </c>
      <c r="D163" s="103">
        <f t="shared" si="20"/>
        <v>24195.938555355773</v>
      </c>
      <c r="E163" s="103">
        <v>0</v>
      </c>
      <c r="F163" s="103">
        <f t="shared" si="23"/>
        <v>138.87688161693029</v>
      </c>
      <c r="G163" s="103">
        <f t="shared" si="24"/>
        <v>79.453562028055345</v>
      </c>
      <c r="H163" s="103">
        <f t="shared" si="25"/>
        <v>88.800542690973103</v>
      </c>
      <c r="I163" s="144">
        <f t="shared" si="26"/>
        <v>15804.061444644227</v>
      </c>
      <c r="J163" s="144">
        <f t="shared" si="27"/>
        <v>17759.297195560699</v>
      </c>
      <c r="K163" s="144"/>
      <c r="L163" s="144"/>
      <c r="M163" s="144"/>
      <c r="N163" s="144"/>
      <c r="O163" s="160"/>
    </row>
    <row r="164" spans="1:15">
      <c r="A164" s="64">
        <v>154</v>
      </c>
      <c r="B164" s="160">
        <f t="shared" si="21"/>
        <v>40000</v>
      </c>
      <c r="C164" s="103">
        <f t="shared" si="22"/>
        <v>22239.891461805379</v>
      </c>
      <c r="D164" s="103">
        <f t="shared" si="20"/>
        <v>24109.28759438893</v>
      </c>
      <c r="E164" s="103">
        <v>0</v>
      </c>
      <c r="F164" s="103">
        <f t="shared" si="23"/>
        <v>139.39207962627347</v>
      </c>
      <c r="G164" s="103">
        <f t="shared" si="24"/>
        <v>79.867795890238284</v>
      </c>
      <c r="H164" s="103">
        <f t="shared" si="25"/>
        <v>88.804421304540156</v>
      </c>
      <c r="I164" s="144">
        <f t="shared" si="26"/>
        <v>15890.71240561107</v>
      </c>
      <c r="J164" s="144">
        <f t="shared" si="27"/>
        <v>17760.108538194621</v>
      </c>
      <c r="K164" s="144"/>
      <c r="L164" s="144"/>
      <c r="M164" s="144"/>
      <c r="N164" s="144"/>
      <c r="O164" s="160"/>
    </row>
    <row r="165" spans="1:15">
      <c r="A165" s="64">
        <v>155</v>
      </c>
      <c r="B165" s="160">
        <f t="shared" si="21"/>
        <v>40000</v>
      </c>
      <c r="C165" s="103">
        <f t="shared" si="22"/>
        <v>22239.115739091969</v>
      </c>
      <c r="D165" s="103">
        <f t="shared" si="20"/>
        <v>24026.440821952343</v>
      </c>
      <c r="E165" s="103">
        <v>0</v>
      </c>
      <c r="F165" s="103">
        <f t="shared" si="23"/>
        <v>139.89471183051072</v>
      </c>
      <c r="G165" s="103">
        <f t="shared" si="24"/>
        <v>80.263843875544907</v>
      </c>
      <c r="H165" s="103">
        <f t="shared" si="25"/>
        <v>88.80812963751157</v>
      </c>
      <c r="I165" s="144">
        <f t="shared" si="26"/>
        <v>15973.559178047657</v>
      </c>
      <c r="J165" s="144">
        <f t="shared" si="27"/>
        <v>17760.884260908031</v>
      </c>
      <c r="K165" s="144"/>
      <c r="L165" s="144"/>
      <c r="M165" s="144"/>
      <c r="N165" s="144"/>
      <c r="O165" s="160"/>
    </row>
    <row r="166" spans="1:15">
      <c r="A166" s="64">
        <v>156</v>
      </c>
      <c r="B166" s="160">
        <f t="shared" si="21"/>
        <v>40000</v>
      </c>
      <c r="C166" s="103">
        <f t="shared" si="22"/>
        <v>22238.374072497685</v>
      </c>
      <c r="D166" s="103">
        <f t="shared" si="20"/>
        <v>23947.231224891017</v>
      </c>
      <c r="E166" s="103">
        <v>0</v>
      </c>
      <c r="F166" s="103">
        <f t="shared" si="23"/>
        <v>140.38508471269338</v>
      </c>
      <c r="G166" s="103">
        <f t="shared" si="24"/>
        <v>80.642504388325861</v>
      </c>
      <c r="H166" s="103">
        <f t="shared" si="25"/>
        <v>88.811675165620827</v>
      </c>
      <c r="I166" s="144">
        <f t="shared" si="26"/>
        <v>16052.768775108982</v>
      </c>
      <c r="J166" s="144">
        <f t="shared" si="27"/>
        <v>17761.625927502315</v>
      </c>
      <c r="K166" s="144"/>
      <c r="L166" s="144"/>
      <c r="M166" s="144"/>
      <c r="N166" s="144"/>
      <c r="O166" s="160"/>
    </row>
    <row r="167" spans="1:15">
      <c r="A167" s="64">
        <v>157</v>
      </c>
      <c r="B167" s="160">
        <f t="shared" si="21"/>
        <v>40000</v>
      </c>
      <c r="C167" s="103">
        <f t="shared" si="22"/>
        <v>22237.664966875836</v>
      </c>
      <c r="D167" s="103">
        <f t="shared" si="20"/>
        <v>23871.499122334826</v>
      </c>
      <c r="E167" s="103">
        <v>0</v>
      </c>
      <c r="F167" s="103">
        <f t="shared" si="23"/>
        <v>140.86349728067648</v>
      </c>
      <c r="G167" s="103">
        <f t="shared" si="24"/>
        <v>81.004540781033512</v>
      </c>
      <c r="H167" s="103">
        <f t="shared" si="25"/>
        <v>88.815065036398465</v>
      </c>
      <c r="I167" s="144">
        <f t="shared" si="26"/>
        <v>16128.500877665172</v>
      </c>
      <c r="J167" s="144">
        <f t="shared" si="27"/>
        <v>17762.335033124164</v>
      </c>
      <c r="K167" s="144"/>
      <c r="L167" s="144"/>
      <c r="M167" s="144"/>
      <c r="N167" s="144"/>
      <c r="O167" s="160"/>
    </row>
    <row r="168" spans="1:15">
      <c r="A168" s="64">
        <v>158</v>
      </c>
      <c r="B168" s="160">
        <f t="shared" si="21"/>
        <v>40000</v>
      </c>
      <c r="C168" s="103">
        <f t="shared" si="22"/>
        <v>22236.986992720307</v>
      </c>
      <c r="D168" s="103">
        <f t="shared" si="20"/>
        <v>23799.0918437933</v>
      </c>
      <c r="E168" s="103">
        <v>0</v>
      </c>
      <c r="F168" s="103">
        <f t="shared" si="23"/>
        <v>141.33024124944049</v>
      </c>
      <c r="G168" s="103">
        <f t="shared" si="24"/>
        <v>81.350682893085704</v>
      </c>
      <c r="H168" s="103">
        <f t="shared" si="25"/>
        <v>88.818306083580978</v>
      </c>
      <c r="I168" s="144">
        <f t="shared" si="26"/>
        <v>16200.908156206702</v>
      </c>
      <c r="J168" s="144">
        <f t="shared" si="27"/>
        <v>17763.013007279693</v>
      </c>
      <c r="K168" s="144"/>
      <c r="L168" s="144"/>
      <c r="M168" s="144"/>
      <c r="N168" s="144"/>
      <c r="O168" s="160"/>
    </row>
    <row r="169" spans="1:15">
      <c r="A169" s="64">
        <v>159</v>
      </c>
      <c r="B169" s="160">
        <f t="shared" si="21"/>
        <v>40000</v>
      </c>
      <c r="C169" s="103">
        <f t="shared" si="22"/>
        <v>22236.338783283805</v>
      </c>
      <c r="D169" s="103">
        <f t="shared" si="20"/>
        <v>23729.863421382859</v>
      </c>
      <c r="E169" s="103">
        <v>0</v>
      </c>
      <c r="F169" s="103">
        <f t="shared" si="23"/>
        <v>141.78560121896635</v>
      </c>
      <c r="G169" s="103">
        <f t="shared" si="24"/>
        <v>81.68162852216976</v>
      </c>
      <c r="H169" s="103">
        <f t="shared" si="25"/>
        <v>88.821404840887197</v>
      </c>
      <c r="I169" s="144">
        <f t="shared" si="26"/>
        <v>16270.136578617141</v>
      </c>
      <c r="J169" s="144">
        <f t="shared" si="27"/>
        <v>17763.661216716195</v>
      </c>
      <c r="K169" s="144"/>
      <c r="L169" s="144"/>
      <c r="M169" s="144"/>
      <c r="N169" s="144"/>
      <c r="O169" s="160"/>
    </row>
    <row r="170" spans="1:15">
      <c r="A170" s="64">
        <v>160</v>
      </c>
      <c r="B170" s="160">
        <f t="shared" si="21"/>
        <v>40000</v>
      </c>
      <c r="C170" s="103">
        <f t="shared" si="22"/>
        <v>22235.719031822562</v>
      </c>
      <c r="D170" s="103">
        <f t="shared" ref="D170:D178" si="28">B170-I170</f>
        <v>23663.674295566048</v>
      </c>
      <c r="E170" s="103">
        <v>0</v>
      </c>
      <c r="F170" s="103">
        <f t="shared" si="23"/>
        <v>142.22985484777206</v>
      </c>
      <c r="G170" s="103">
        <f t="shared" si="24"/>
        <v>81.998044830952551</v>
      </c>
      <c r="H170" s="103">
        <f t="shared" si="25"/>
        <v>88.824367555189724</v>
      </c>
      <c r="I170" s="144">
        <f t="shared" si="26"/>
        <v>16336.325704433952</v>
      </c>
      <c r="J170" s="144">
        <f t="shared" si="27"/>
        <v>17764.280968177438</v>
      </c>
      <c r="K170" s="144"/>
      <c r="L170" s="144"/>
      <c r="M170" s="144"/>
      <c r="N170" s="144"/>
      <c r="O170" s="160"/>
    </row>
    <row r="171" spans="1:15">
      <c r="A171" s="64">
        <v>161</v>
      </c>
      <c r="B171" s="160">
        <f t="shared" si="21"/>
        <v>40000</v>
      </c>
      <c r="C171" s="103">
        <f t="shared" si="22"/>
        <v>22235.126488962054</v>
      </c>
      <c r="D171" s="103">
        <f t="shared" si="28"/>
        <v>23600.39103380949</v>
      </c>
      <c r="E171" s="103">
        <v>0</v>
      </c>
      <c r="F171" s="103">
        <f t="shared" si="23"/>
        <v>142.66327302221666</v>
      </c>
      <c r="G171" s="103">
        <f t="shared" si="24"/>
        <v>82.300569692032695</v>
      </c>
      <c r="H171" s="103">
        <f t="shared" si="25"/>
        <v>88.827200199108233</v>
      </c>
      <c r="I171" s="144">
        <f t="shared" si="26"/>
        <v>16399.60896619051</v>
      </c>
      <c r="J171" s="144">
        <f t="shared" si="27"/>
        <v>17764.873511037946</v>
      </c>
      <c r="K171" s="144"/>
      <c r="L171" s="144"/>
      <c r="M171" s="144"/>
      <c r="N171" s="144"/>
      <c r="O171" s="160"/>
    </row>
    <row r="172" spans="1:15">
      <c r="A172" s="64">
        <v>162</v>
      </c>
      <c r="B172" s="160">
        <f t="shared" si="21"/>
        <v>40000</v>
      </c>
      <c r="C172" s="103">
        <f t="shared" si="22"/>
        <v>22234.559960178354</v>
      </c>
      <c r="D172" s="103">
        <f t="shared" si="28"/>
        <v>23539.886061593461</v>
      </c>
      <c r="E172" s="103">
        <v>0</v>
      </c>
      <c r="F172" s="103">
        <f t="shared" si="23"/>
        <v>143.08612002167479</v>
      </c>
      <c r="G172" s="103">
        <f t="shared" si="24"/>
        <v>82.589812973845909</v>
      </c>
      <c r="H172" s="103">
        <f t="shared" si="25"/>
        <v>88.829908483049834</v>
      </c>
      <c r="I172" s="144">
        <f t="shared" si="26"/>
        <v>16460.113938406539</v>
      </c>
      <c r="J172" s="144">
        <f t="shared" si="27"/>
        <v>17765.440039821646</v>
      </c>
      <c r="K172" s="144"/>
      <c r="L172" s="144"/>
      <c r="M172" s="144"/>
      <c r="N172" s="144"/>
      <c r="O172" s="160"/>
    </row>
    <row r="173" spans="1:15">
      <c r="A173" s="64">
        <v>163</v>
      </c>
      <c r="B173" s="160">
        <f t="shared" si="21"/>
        <v>40000</v>
      </c>
      <c r="C173" s="103">
        <f t="shared" si="22"/>
        <v>22234.018303390032</v>
      </c>
      <c r="D173" s="103">
        <f t="shared" si="28"/>
        <v>23482.037405230818</v>
      </c>
      <c r="E173" s="103">
        <v>0</v>
      </c>
      <c r="F173" s="103">
        <f t="shared" si="23"/>
        <v>143.49865367968275</v>
      </c>
      <c r="G173" s="103">
        <f t="shared" si="24"/>
        <v>82.866357770116096</v>
      </c>
      <c r="H173" s="103">
        <f t="shared" si="25"/>
        <v>88.832497866720828</v>
      </c>
      <c r="I173" s="144">
        <f t="shared" si="26"/>
        <v>16517.962594769182</v>
      </c>
      <c r="J173" s="144">
        <f t="shared" si="27"/>
        <v>17765.981696609968</v>
      </c>
      <c r="K173" s="144"/>
      <c r="L173" s="144"/>
      <c r="M173" s="144"/>
      <c r="N173" s="144"/>
      <c r="O173" s="160"/>
    </row>
    <row r="174" spans="1:15">
      <c r="A174" s="64">
        <v>164</v>
      </c>
      <c r="B174" s="160">
        <f t="shared" si="21"/>
        <v>40000</v>
      </c>
      <c r="C174" s="103">
        <f t="shared" si="22"/>
        <v>22233.500426655835</v>
      </c>
      <c r="D174" s="103">
        <f t="shared" si="28"/>
        <v>23426.72844597678</v>
      </c>
      <c r="E174" s="103">
        <v>0</v>
      </c>
      <c r="F174" s="103">
        <f t="shared" si="23"/>
        <v>143.9011255411539</v>
      </c>
      <c r="G174" s="103">
        <f t="shared" si="24"/>
        <v>83.13076157533051</v>
      </c>
      <c r="H174" s="103">
        <f t="shared" si="25"/>
        <v>88.834973570133101</v>
      </c>
      <c r="I174" s="144">
        <f t="shared" si="26"/>
        <v>16573.27155402322</v>
      </c>
      <c r="J174" s="144">
        <f t="shared" si="27"/>
        <v>17766.499573344165</v>
      </c>
      <c r="K174" s="144"/>
      <c r="L174" s="144"/>
      <c r="M174" s="144"/>
      <c r="N174" s="144"/>
      <c r="O174" s="160"/>
    </row>
    <row r="175" spans="1:15">
      <c r="A175" s="64">
        <v>165</v>
      </c>
      <c r="B175" s="160">
        <f t="shared" si="21"/>
        <v>40000</v>
      </c>
      <c r="C175" s="103">
        <f t="shared" si="22"/>
        <v>22233.005285973381</v>
      </c>
      <c r="D175" s="103">
        <f t="shared" si="28"/>
        <v>23373.847684933899</v>
      </c>
      <c r="E175" s="103">
        <v>0</v>
      </c>
      <c r="F175" s="103">
        <f t="shared" si="23"/>
        <v>144.29378101575992</v>
      </c>
      <c r="G175" s="103">
        <f t="shared" si="24"/>
        <v>83.383557408608695</v>
      </c>
      <c r="H175" s="103">
        <f t="shared" si="25"/>
        <v>88.837340584127261</v>
      </c>
      <c r="I175" s="144">
        <f t="shared" si="26"/>
        <v>16626.152315066101</v>
      </c>
      <c r="J175" s="144">
        <f t="shared" si="27"/>
        <v>17766.994714026619</v>
      </c>
      <c r="K175" s="144"/>
      <c r="L175" s="144"/>
      <c r="M175" s="144"/>
      <c r="N175" s="144"/>
      <c r="O175" s="160"/>
    </row>
    <row r="176" spans="1:15">
      <c r="A176" s="64">
        <v>166</v>
      </c>
      <c r="B176" s="160">
        <f t="shared" si="21"/>
        <v>40000</v>
      </c>
      <c r="C176" s="103">
        <f t="shared" si="22"/>
        <v>22232.531883174546</v>
      </c>
      <c r="D176" s="103">
        <f t="shared" si="28"/>
        <v>23323.288518278259</v>
      </c>
      <c r="E176" s="103">
        <v>0</v>
      </c>
      <c r="F176" s="103">
        <f t="shared" si="23"/>
        <v>144.67685952757066</v>
      </c>
      <c r="G176" s="103">
        <f t="shared" si="24"/>
        <v>83.625254888230756</v>
      </c>
      <c r="H176" s="103">
        <f t="shared" si="25"/>
        <v>88.839603680433882</v>
      </c>
      <c r="I176" s="144">
        <f t="shared" si="26"/>
        <v>16676.711481721741</v>
      </c>
      <c r="J176" s="144">
        <f t="shared" si="27"/>
        <v>17767.468116825454</v>
      </c>
      <c r="K176" s="144"/>
      <c r="L176" s="144"/>
      <c r="M176" s="144"/>
      <c r="N176" s="144"/>
      <c r="O176" s="160"/>
    </row>
    <row r="177" spans="1:15">
      <c r="A177" s="64">
        <v>167</v>
      </c>
      <c r="B177" s="160">
        <f t="shared" si="21"/>
        <v>40000</v>
      </c>
      <c r="C177" s="103">
        <f t="shared" si="22"/>
        <v>22232.079263913223</v>
      </c>
      <c r="D177" s="103">
        <f t="shared" si="28"/>
        <v>23274.949022353849</v>
      </c>
      <c r="E177" s="103">
        <v>0</v>
      </c>
      <c r="F177" s="103">
        <f t="shared" si="23"/>
        <v>145.05059466104456</v>
      </c>
      <c r="G177" s="103">
        <f t="shared" si="24"/>
        <v>83.856341258991364</v>
      </c>
      <c r="H177" s="103">
        <f t="shared" si="25"/>
        <v>88.841767421292886</v>
      </c>
      <c r="I177" s="144">
        <f t="shared" si="26"/>
        <v>16725.050977646151</v>
      </c>
      <c r="J177" s="144">
        <f t="shared" si="27"/>
        <v>17767.920736086777</v>
      </c>
      <c r="K177" s="144"/>
      <c r="L177" s="144"/>
      <c r="M177" s="144"/>
      <c r="N177" s="144"/>
      <c r="O177" s="160"/>
    </row>
    <row r="178" spans="1:15">
      <c r="A178" s="64">
        <v>168</v>
      </c>
      <c r="B178" s="160">
        <f t="shared" si="21"/>
        <v>40000</v>
      </c>
      <c r="C178" s="103">
        <f t="shared" si="22"/>
        <v>22231.646515741424</v>
      </c>
      <c r="D178" s="103">
        <f t="shared" si="28"/>
        <v>23228.731748201728</v>
      </c>
      <c r="E178" s="103">
        <v>0</v>
      </c>
      <c r="F178" s="103">
        <f t="shared" si="23"/>
        <v>145.41521430345813</v>
      </c>
      <c r="G178" s="103">
        <f t="shared" si="24"/>
        <v>84.077282374450292</v>
      </c>
      <c r="H178" s="103">
        <f t="shared" si="25"/>
        <v>88.843836168650768</v>
      </c>
      <c r="I178" s="144">
        <f t="shared" si="26"/>
        <v>16771.268251798272</v>
      </c>
      <c r="J178" s="144">
        <f t="shared" si="27"/>
        <v>17768.353484258576</v>
      </c>
      <c r="K178" s="144"/>
      <c r="L178" s="144"/>
      <c r="M178" s="144"/>
      <c r="N178" s="144"/>
      <c r="O178" s="160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8"/>
  <sheetViews>
    <sheetView workbookViewId="0">
      <selection activeCell="I7" sqref="I7"/>
    </sheetView>
  </sheetViews>
  <sheetFormatPr baseColWidth="10" defaultRowHeight="15" x14ac:dyDescent="0"/>
  <cols>
    <col min="2" max="2" width="12.33203125" customWidth="1"/>
    <col min="11" max="11" width="13" customWidth="1"/>
    <col min="12" max="12" width="14.33203125" customWidth="1"/>
    <col min="13" max="13" width="12.6640625" customWidth="1"/>
  </cols>
  <sheetData>
    <row r="1" spans="1:15">
      <c r="B1" t="s">
        <v>277</v>
      </c>
      <c r="C1" s="145">
        <v>1000</v>
      </c>
      <c r="D1" s="145"/>
      <c r="E1" t="s">
        <v>184</v>
      </c>
      <c r="F1" s="130" t="s">
        <v>331</v>
      </c>
      <c r="G1" s="130"/>
      <c r="H1" t="s">
        <v>287</v>
      </c>
    </row>
    <row r="2" spans="1:15">
      <c r="B2" t="s">
        <v>335</v>
      </c>
      <c r="C2" s="107">
        <v>4000</v>
      </c>
      <c r="H2" t="s">
        <v>279</v>
      </c>
      <c r="I2" t="s">
        <v>281</v>
      </c>
      <c r="L2" t="s">
        <v>288</v>
      </c>
    </row>
    <row r="3" spans="1:15">
      <c r="A3" s="6"/>
      <c r="B3" t="s">
        <v>278</v>
      </c>
      <c r="C3" s="131">
        <f>E3*3.6</f>
        <v>180</v>
      </c>
      <c r="D3" t="s">
        <v>284</v>
      </c>
      <c r="E3" s="145">
        <v>50</v>
      </c>
      <c r="F3" t="s">
        <v>285</v>
      </c>
      <c r="H3" t="s">
        <v>280</v>
      </c>
      <c r="I3" t="s">
        <v>282</v>
      </c>
      <c r="L3" t="s">
        <v>289</v>
      </c>
    </row>
    <row r="4" spans="1:15">
      <c r="B4" t="s">
        <v>210</v>
      </c>
      <c r="C4" s="145">
        <v>0.1</v>
      </c>
      <c r="D4" t="s">
        <v>34</v>
      </c>
    </row>
    <row r="5" spans="1:15">
      <c r="B5" t="s">
        <v>286</v>
      </c>
      <c r="C5" s="145">
        <v>0</v>
      </c>
      <c r="D5" t="s">
        <v>35</v>
      </c>
      <c r="H5" t="s">
        <v>444</v>
      </c>
      <c r="I5" s="147">
        <f>1/(1+C5*C4)</f>
        <v>1</v>
      </c>
      <c r="L5" t="s">
        <v>291</v>
      </c>
      <c r="M5" t="s">
        <v>330</v>
      </c>
      <c r="N5" s="154">
        <v>30</v>
      </c>
      <c r="O5" t="s">
        <v>292</v>
      </c>
    </row>
    <row r="6" spans="1:15">
      <c r="B6" t="s">
        <v>293</v>
      </c>
      <c r="C6" s="145">
        <v>0.25</v>
      </c>
      <c r="D6">
        <v>0.25</v>
      </c>
      <c r="E6" s="145">
        <v>0.1</v>
      </c>
      <c r="I6" s="147"/>
      <c r="N6" s="131"/>
    </row>
    <row r="7" spans="1:15" s="131" customFormat="1">
      <c r="L7" t="s">
        <v>316</v>
      </c>
      <c r="M7" s="162" t="s">
        <v>235</v>
      </c>
      <c r="N7" s="141">
        <f>-C5</f>
        <v>0</v>
      </c>
    </row>
    <row r="8" spans="1:15">
      <c r="A8" t="s">
        <v>17</v>
      </c>
      <c r="B8" s="148" t="s">
        <v>329</v>
      </c>
      <c r="C8" t="s">
        <v>333</v>
      </c>
      <c r="D8" s="131" t="s">
        <v>334</v>
      </c>
      <c r="E8" s="157" t="s">
        <v>312</v>
      </c>
      <c r="F8" t="s">
        <v>295</v>
      </c>
      <c r="G8" s="64" t="s">
        <v>314</v>
      </c>
      <c r="H8" s="141"/>
      <c r="I8" s="141"/>
      <c r="J8" s="141"/>
      <c r="K8" s="161"/>
      <c r="L8" s="141"/>
      <c r="M8" s="162" t="s">
        <v>236</v>
      </c>
      <c r="N8" s="141">
        <f>1/C1</f>
        <v>1E-3</v>
      </c>
    </row>
    <row r="9" spans="1:15">
      <c r="A9" s="148">
        <v>-1</v>
      </c>
      <c r="B9" s="148"/>
      <c r="C9" s="144"/>
      <c r="D9" s="144"/>
      <c r="E9" s="156">
        <v>0</v>
      </c>
      <c r="F9" s="156">
        <v>0</v>
      </c>
      <c r="G9" s="156">
        <v>0</v>
      </c>
      <c r="H9" s="144"/>
      <c r="I9" s="144"/>
      <c r="J9" s="144"/>
      <c r="K9" s="144"/>
      <c r="L9" s="144"/>
      <c r="M9" s="163" t="s">
        <v>317</v>
      </c>
      <c r="N9" s="141">
        <v>1</v>
      </c>
    </row>
    <row r="10" spans="1:15">
      <c r="A10" s="64">
        <v>0</v>
      </c>
      <c r="B10" s="160">
        <f>$C$3</f>
        <v>180</v>
      </c>
      <c r="C10" s="103">
        <f>B10-G9</f>
        <v>180</v>
      </c>
      <c r="D10" s="103">
        <f>$N$5*C10</f>
        <v>5400</v>
      </c>
      <c r="E10" s="144">
        <v>0</v>
      </c>
      <c r="F10" s="103">
        <f>(D10/$C$1-E10/$C$1+F9)*$I$5</f>
        <v>5.4</v>
      </c>
      <c r="G10" s="103">
        <f>(D10/$C$1-E10/$C$1+G9)*$I$5</f>
        <v>5.4</v>
      </c>
      <c r="H10" s="144"/>
      <c r="I10" s="144"/>
      <c r="J10" s="144"/>
      <c r="K10" s="144"/>
      <c r="L10" s="144"/>
      <c r="M10" s="144"/>
      <c r="N10" s="160"/>
    </row>
    <row r="11" spans="1:15">
      <c r="A11" s="64">
        <v>1</v>
      </c>
      <c r="B11" s="160">
        <f t="shared" ref="B11:B74" si="0">$C$3</f>
        <v>180</v>
      </c>
      <c r="C11" s="103">
        <f t="shared" ref="C11:C74" si="1">B11-G10</f>
        <v>174.6</v>
      </c>
      <c r="D11" s="103">
        <f t="shared" ref="D11:D74" si="2">$N$5*C11</f>
        <v>5238</v>
      </c>
      <c r="E11" s="144">
        <v>0</v>
      </c>
      <c r="F11" s="103">
        <f t="shared" ref="F11:F74" si="3">(D11/$C$1-E11/$C$1+F10)*$I$5</f>
        <v>10.638000000000002</v>
      </c>
      <c r="G11" s="103">
        <f t="shared" ref="G11:G74" si="4">(D11/$C$1-E11/$C$1+G10)*$I$5</f>
        <v>10.638000000000002</v>
      </c>
      <c r="H11" s="144"/>
      <c r="I11" s="144"/>
      <c r="J11" s="144"/>
      <c r="K11" s="144"/>
      <c r="L11" s="144"/>
      <c r="M11" s="144"/>
      <c r="N11" s="160"/>
    </row>
    <row r="12" spans="1:15">
      <c r="A12" s="64">
        <v>2</v>
      </c>
      <c r="B12" s="160">
        <f t="shared" si="0"/>
        <v>180</v>
      </c>
      <c r="C12" s="103">
        <f t="shared" si="1"/>
        <v>169.36199999999999</v>
      </c>
      <c r="D12" s="103">
        <f t="shared" si="2"/>
        <v>5080.8599999999997</v>
      </c>
      <c r="E12" s="144">
        <v>0</v>
      </c>
      <c r="F12" s="103">
        <f t="shared" si="3"/>
        <v>15.718860000000001</v>
      </c>
      <c r="G12" s="103">
        <f t="shared" si="4"/>
        <v>15.718860000000001</v>
      </c>
      <c r="H12" s="144"/>
      <c r="I12" s="144"/>
      <c r="J12" s="144"/>
      <c r="K12" s="144"/>
      <c r="L12" s="144"/>
      <c r="M12" s="144"/>
      <c r="N12" s="160"/>
    </row>
    <row r="13" spans="1:15">
      <c r="A13" s="64">
        <v>3</v>
      </c>
      <c r="B13" s="160">
        <f t="shared" si="0"/>
        <v>180</v>
      </c>
      <c r="C13" s="103">
        <f t="shared" si="1"/>
        <v>164.28113999999999</v>
      </c>
      <c r="D13" s="103">
        <f t="shared" si="2"/>
        <v>4928.4341999999997</v>
      </c>
      <c r="E13" s="144">
        <v>0</v>
      </c>
      <c r="F13" s="103">
        <f t="shared" si="3"/>
        <v>20.647294200000001</v>
      </c>
      <c r="G13" s="103">
        <f t="shared" si="4"/>
        <v>20.647294200000001</v>
      </c>
      <c r="H13" s="144"/>
      <c r="I13" s="144"/>
      <c r="J13" s="144"/>
      <c r="K13" s="144"/>
      <c r="L13" s="144"/>
      <c r="M13" s="144"/>
      <c r="N13" s="160"/>
    </row>
    <row r="14" spans="1:15">
      <c r="A14" s="64">
        <v>4</v>
      </c>
      <c r="B14" s="160">
        <f t="shared" si="0"/>
        <v>180</v>
      </c>
      <c r="C14" s="103">
        <f t="shared" si="1"/>
        <v>159.3527058</v>
      </c>
      <c r="D14" s="103">
        <f t="shared" si="2"/>
        <v>4780.5811739999999</v>
      </c>
      <c r="E14" s="144">
        <v>0</v>
      </c>
      <c r="F14" s="103">
        <f t="shared" si="3"/>
        <v>25.427875374000003</v>
      </c>
      <c r="G14" s="103">
        <f t="shared" si="4"/>
        <v>25.427875374000003</v>
      </c>
      <c r="H14" s="144"/>
      <c r="I14" s="144"/>
      <c r="J14" s="144"/>
      <c r="K14" s="144"/>
      <c r="L14" s="144"/>
      <c r="M14" s="144"/>
      <c r="N14" s="160"/>
    </row>
    <row r="15" spans="1:15">
      <c r="A15" s="64">
        <v>5</v>
      </c>
      <c r="B15" s="160">
        <f t="shared" si="0"/>
        <v>180</v>
      </c>
      <c r="C15" s="103">
        <f t="shared" si="1"/>
        <v>154.572124626</v>
      </c>
      <c r="D15" s="103">
        <f t="shared" si="2"/>
        <v>4637.1637387800001</v>
      </c>
      <c r="E15" s="144">
        <v>0</v>
      </c>
      <c r="F15" s="103">
        <f t="shared" si="3"/>
        <v>30.065039112780003</v>
      </c>
      <c r="G15" s="103">
        <f t="shared" si="4"/>
        <v>30.065039112780003</v>
      </c>
      <c r="H15" s="144"/>
      <c r="I15" s="144"/>
      <c r="J15" s="144"/>
      <c r="K15" s="144"/>
      <c r="L15" s="144"/>
      <c r="M15" s="144"/>
      <c r="N15" s="160"/>
    </row>
    <row r="16" spans="1:15">
      <c r="A16" s="64">
        <v>6</v>
      </c>
      <c r="B16" s="160">
        <f t="shared" si="0"/>
        <v>180</v>
      </c>
      <c r="C16" s="103">
        <f t="shared" si="1"/>
        <v>149.93496088722</v>
      </c>
      <c r="D16" s="103">
        <f t="shared" si="2"/>
        <v>4498.0488266166003</v>
      </c>
      <c r="E16" s="144">
        <v>0</v>
      </c>
      <c r="F16" s="103">
        <f t="shared" si="3"/>
        <v>34.563087939396603</v>
      </c>
      <c r="G16" s="103">
        <f t="shared" si="4"/>
        <v>34.563087939396603</v>
      </c>
      <c r="H16" s="144"/>
      <c r="I16" s="144"/>
      <c r="J16" s="144"/>
      <c r="K16" s="144"/>
      <c r="L16" s="144"/>
      <c r="M16" s="144"/>
      <c r="N16" s="160"/>
    </row>
    <row r="17" spans="1:14">
      <c r="A17" s="64">
        <v>7</v>
      </c>
      <c r="B17" s="160">
        <f t="shared" si="0"/>
        <v>180</v>
      </c>
      <c r="C17" s="103">
        <f t="shared" si="1"/>
        <v>145.43691206060339</v>
      </c>
      <c r="D17" s="103">
        <f t="shared" si="2"/>
        <v>4363.1073618181017</v>
      </c>
      <c r="E17" s="144">
        <v>0</v>
      </c>
      <c r="F17" s="103">
        <f t="shared" si="3"/>
        <v>38.926195301214705</v>
      </c>
      <c r="G17" s="103">
        <f t="shared" si="4"/>
        <v>38.926195301214705</v>
      </c>
      <c r="H17" s="144"/>
      <c r="I17" s="144"/>
      <c r="J17" s="144"/>
      <c r="K17" s="144"/>
      <c r="L17" s="144"/>
      <c r="M17" s="144"/>
      <c r="N17" s="160"/>
    </row>
    <row r="18" spans="1:14">
      <c r="A18" s="64">
        <v>8</v>
      </c>
      <c r="B18" s="160">
        <f t="shared" si="0"/>
        <v>180</v>
      </c>
      <c r="C18" s="103">
        <f t="shared" si="1"/>
        <v>141.0738046987853</v>
      </c>
      <c r="D18" s="103">
        <f t="shared" si="2"/>
        <v>4232.2141409635587</v>
      </c>
      <c r="E18" s="144">
        <v>0</v>
      </c>
      <c r="F18" s="103">
        <f t="shared" si="3"/>
        <v>43.158409442178261</v>
      </c>
      <c r="G18" s="103">
        <f t="shared" si="4"/>
        <v>43.158409442178261</v>
      </c>
      <c r="H18" s="144"/>
      <c r="I18" s="144"/>
      <c r="J18" s="144"/>
      <c r="K18" s="144"/>
      <c r="L18" s="144"/>
      <c r="M18" s="144"/>
      <c r="N18" s="160"/>
    </row>
    <row r="19" spans="1:14">
      <c r="A19" s="64">
        <v>9</v>
      </c>
      <c r="B19" s="160">
        <f t="shared" si="0"/>
        <v>180</v>
      </c>
      <c r="C19" s="103">
        <f t="shared" si="1"/>
        <v>136.84159055782175</v>
      </c>
      <c r="D19" s="103">
        <f t="shared" si="2"/>
        <v>4105.2477167346524</v>
      </c>
      <c r="E19" s="144">
        <v>0</v>
      </c>
      <c r="F19" s="103">
        <f t="shared" si="3"/>
        <v>47.263657158912913</v>
      </c>
      <c r="G19" s="103">
        <f t="shared" si="4"/>
        <v>47.263657158912913</v>
      </c>
      <c r="H19" s="144"/>
      <c r="I19" s="144"/>
      <c r="J19" s="144"/>
      <c r="K19" s="144"/>
      <c r="L19" s="144"/>
      <c r="M19" s="144"/>
      <c r="N19" s="160"/>
    </row>
    <row r="20" spans="1:14">
      <c r="A20" s="64">
        <v>10</v>
      </c>
      <c r="B20" s="160">
        <f t="shared" si="0"/>
        <v>180</v>
      </c>
      <c r="C20" s="103">
        <f t="shared" si="1"/>
        <v>132.73634284108709</v>
      </c>
      <c r="D20" s="103">
        <f t="shared" si="2"/>
        <v>3982.0902852326126</v>
      </c>
      <c r="E20" s="144">
        <v>0</v>
      </c>
      <c r="F20" s="103">
        <f t="shared" si="3"/>
        <v>51.245747444145529</v>
      </c>
      <c r="G20" s="103">
        <f t="shared" si="4"/>
        <v>51.245747444145529</v>
      </c>
      <c r="H20" s="144"/>
      <c r="I20" s="144"/>
      <c r="J20" s="144"/>
      <c r="K20" s="144"/>
      <c r="L20" s="144"/>
      <c r="M20" s="144"/>
      <c r="N20" s="160"/>
    </row>
    <row r="21" spans="1:14">
      <c r="A21" s="64">
        <v>11</v>
      </c>
      <c r="B21" s="160">
        <f t="shared" si="0"/>
        <v>180</v>
      </c>
      <c r="C21" s="103">
        <f t="shared" si="1"/>
        <v>128.75425255585446</v>
      </c>
      <c r="D21" s="103">
        <f t="shared" si="2"/>
        <v>3862.6275766756339</v>
      </c>
      <c r="E21" s="144">
        <v>0</v>
      </c>
      <c r="F21" s="103">
        <f t="shared" si="3"/>
        <v>55.108375020821164</v>
      </c>
      <c r="G21" s="103">
        <f t="shared" si="4"/>
        <v>55.108375020821164</v>
      </c>
      <c r="H21" s="144"/>
      <c r="I21" s="144"/>
      <c r="J21" s="144"/>
      <c r="K21" s="144"/>
      <c r="L21" s="144"/>
      <c r="M21" s="144"/>
      <c r="N21" s="160"/>
    </row>
    <row r="22" spans="1:14">
      <c r="A22" s="64">
        <v>12</v>
      </c>
      <c r="B22" s="160">
        <f t="shared" si="0"/>
        <v>180</v>
      </c>
      <c r="C22" s="103">
        <f t="shared" si="1"/>
        <v>124.89162497917883</v>
      </c>
      <c r="D22" s="103">
        <f t="shared" si="2"/>
        <v>3746.7487493753647</v>
      </c>
      <c r="E22" s="144">
        <v>0</v>
      </c>
      <c r="F22" s="103">
        <f t="shared" si="3"/>
        <v>58.855123770196528</v>
      </c>
      <c r="G22" s="103">
        <f t="shared" si="4"/>
        <v>58.855123770196528</v>
      </c>
      <c r="H22" s="144"/>
      <c r="I22" s="144"/>
      <c r="J22" s="144"/>
      <c r="K22" s="144"/>
      <c r="L22" s="144"/>
      <c r="M22" s="144"/>
      <c r="N22" s="160"/>
    </row>
    <row r="23" spans="1:14">
      <c r="A23" s="64">
        <v>13</v>
      </c>
      <c r="B23" s="160">
        <f t="shared" si="0"/>
        <v>180</v>
      </c>
      <c r="C23" s="103">
        <f t="shared" si="1"/>
        <v>121.14487622980347</v>
      </c>
      <c r="D23" s="103">
        <f t="shared" si="2"/>
        <v>3634.3462868941042</v>
      </c>
      <c r="E23" s="144">
        <v>0</v>
      </c>
      <c r="F23" s="103">
        <f t="shared" si="3"/>
        <v>62.489470057090635</v>
      </c>
      <c r="G23" s="103">
        <f t="shared" si="4"/>
        <v>62.489470057090635</v>
      </c>
      <c r="H23" s="144"/>
      <c r="I23" s="144"/>
      <c r="J23" s="144"/>
      <c r="K23" s="144"/>
      <c r="L23" s="144"/>
      <c r="M23" s="144"/>
      <c r="N23" s="160"/>
    </row>
    <row r="24" spans="1:14">
      <c r="A24" s="64">
        <v>14</v>
      </c>
      <c r="B24" s="160">
        <f t="shared" si="0"/>
        <v>180</v>
      </c>
      <c r="C24" s="103">
        <f t="shared" si="1"/>
        <v>117.51052994290936</v>
      </c>
      <c r="D24" s="103">
        <f t="shared" si="2"/>
        <v>3525.3158982872806</v>
      </c>
      <c r="E24" s="144">
        <v>0</v>
      </c>
      <c r="F24" s="103">
        <f t="shared" si="3"/>
        <v>66.014785955377917</v>
      </c>
      <c r="G24" s="103">
        <f t="shared" si="4"/>
        <v>66.014785955377917</v>
      </c>
      <c r="H24" s="144"/>
      <c r="I24" s="144"/>
      <c r="J24" s="144"/>
      <c r="K24" s="144"/>
      <c r="L24" s="144"/>
      <c r="M24" s="144"/>
      <c r="N24" s="160"/>
    </row>
    <row r="25" spans="1:14">
      <c r="A25" s="64">
        <v>15</v>
      </c>
      <c r="B25" s="160">
        <f t="shared" si="0"/>
        <v>180</v>
      </c>
      <c r="C25" s="103">
        <f t="shared" si="1"/>
        <v>113.98521404462208</v>
      </c>
      <c r="D25" s="103">
        <f t="shared" si="2"/>
        <v>3419.5564213386624</v>
      </c>
      <c r="E25" s="144">
        <v>0</v>
      </c>
      <c r="F25" s="103">
        <f t="shared" si="3"/>
        <v>69.434342376716586</v>
      </c>
      <c r="G25" s="103">
        <f t="shared" si="4"/>
        <v>69.434342376716586</v>
      </c>
      <c r="H25" s="144"/>
      <c r="I25" s="144"/>
      <c r="J25" s="144"/>
      <c r="K25" s="144"/>
      <c r="L25" s="144"/>
      <c r="M25" s="144"/>
      <c r="N25" s="160"/>
    </row>
    <row r="26" spans="1:14">
      <c r="A26" s="64">
        <v>16</v>
      </c>
      <c r="B26" s="160">
        <f t="shared" si="0"/>
        <v>180</v>
      </c>
      <c r="C26" s="103">
        <f t="shared" si="1"/>
        <v>110.56565762328341</v>
      </c>
      <c r="D26" s="103">
        <f t="shared" si="2"/>
        <v>3316.9697286985024</v>
      </c>
      <c r="E26" s="144">
        <v>0</v>
      </c>
      <c r="F26" s="103">
        <f t="shared" si="3"/>
        <v>72.751312105415082</v>
      </c>
      <c r="G26" s="103">
        <f t="shared" si="4"/>
        <v>72.751312105415082</v>
      </c>
      <c r="H26" s="144"/>
      <c r="I26" s="144"/>
      <c r="J26" s="144"/>
      <c r="K26" s="144"/>
      <c r="L26" s="144"/>
      <c r="M26" s="144"/>
      <c r="N26" s="160"/>
    </row>
    <row r="27" spans="1:14">
      <c r="A27" s="64">
        <v>17</v>
      </c>
      <c r="B27" s="160">
        <f t="shared" si="0"/>
        <v>180</v>
      </c>
      <c r="C27" s="103">
        <f t="shared" si="1"/>
        <v>107.24868789458492</v>
      </c>
      <c r="D27" s="103">
        <f t="shared" si="2"/>
        <v>3217.4606368375476</v>
      </c>
      <c r="E27" s="144">
        <v>0</v>
      </c>
      <c r="F27" s="103">
        <f t="shared" si="3"/>
        <v>75.968772742252625</v>
      </c>
      <c r="G27" s="103">
        <f t="shared" si="4"/>
        <v>75.968772742252625</v>
      </c>
      <c r="H27" s="144"/>
      <c r="I27" s="144"/>
      <c r="J27" s="144"/>
      <c r="K27" s="144"/>
      <c r="L27" s="144"/>
      <c r="M27" s="144"/>
      <c r="N27" s="160"/>
    </row>
    <row r="28" spans="1:14">
      <c r="A28" s="64">
        <v>18</v>
      </c>
      <c r="B28" s="160">
        <f t="shared" si="0"/>
        <v>180</v>
      </c>
      <c r="C28" s="103">
        <f t="shared" si="1"/>
        <v>104.03122725774737</v>
      </c>
      <c r="D28" s="103">
        <f t="shared" si="2"/>
        <v>3120.9368177324213</v>
      </c>
      <c r="E28" s="144">
        <v>0</v>
      </c>
      <c r="F28" s="103">
        <f t="shared" si="3"/>
        <v>79.089709559985053</v>
      </c>
      <c r="G28" s="103">
        <f t="shared" si="4"/>
        <v>79.089709559985053</v>
      </c>
      <c r="H28" s="144"/>
      <c r="I28" s="144"/>
      <c r="J28" s="144"/>
      <c r="K28" s="144"/>
      <c r="L28" s="144"/>
      <c r="M28" s="144"/>
      <c r="N28" s="160"/>
    </row>
    <row r="29" spans="1:14">
      <c r="A29" s="64">
        <v>19</v>
      </c>
      <c r="B29" s="160">
        <f t="shared" si="0"/>
        <v>180</v>
      </c>
      <c r="C29" s="103">
        <f t="shared" si="1"/>
        <v>100.91029044001495</v>
      </c>
      <c r="D29" s="103">
        <f t="shared" si="2"/>
        <v>3027.3087132004484</v>
      </c>
      <c r="E29" s="144">
        <v>0</v>
      </c>
      <c r="F29" s="103">
        <f t="shared" si="3"/>
        <v>82.117018273185508</v>
      </c>
      <c r="G29" s="103">
        <f t="shared" si="4"/>
        <v>82.117018273185508</v>
      </c>
      <c r="H29" s="144"/>
      <c r="I29" s="144"/>
      <c r="J29" s="144"/>
      <c r="K29" s="144"/>
      <c r="L29" s="144"/>
      <c r="M29" s="144"/>
      <c r="N29" s="160"/>
    </row>
    <row r="30" spans="1:14">
      <c r="A30" s="64">
        <v>20</v>
      </c>
      <c r="B30" s="160">
        <f t="shared" si="0"/>
        <v>180</v>
      </c>
      <c r="C30" s="103">
        <f t="shared" si="1"/>
        <v>97.882981726814492</v>
      </c>
      <c r="D30" s="103">
        <f t="shared" si="2"/>
        <v>2936.4894518044348</v>
      </c>
      <c r="E30" s="144">
        <v>0</v>
      </c>
      <c r="F30" s="103">
        <f t="shared" si="3"/>
        <v>85.053507724989942</v>
      </c>
      <c r="G30" s="103">
        <f t="shared" si="4"/>
        <v>85.053507724989942</v>
      </c>
      <c r="H30" s="144"/>
      <c r="I30" s="144"/>
      <c r="J30" s="144"/>
      <c r="K30" s="144"/>
      <c r="L30" s="144"/>
      <c r="M30" s="144"/>
      <c r="N30" s="160"/>
    </row>
    <row r="31" spans="1:14">
      <c r="A31" s="64">
        <v>21</v>
      </c>
      <c r="B31" s="160">
        <f t="shared" si="0"/>
        <v>180</v>
      </c>
      <c r="C31" s="103">
        <f t="shared" si="1"/>
        <v>94.946492275010058</v>
      </c>
      <c r="D31" s="103">
        <f t="shared" si="2"/>
        <v>2848.3947682503017</v>
      </c>
      <c r="E31" s="144">
        <v>0</v>
      </c>
      <c r="F31" s="103">
        <f t="shared" si="3"/>
        <v>87.901902493240243</v>
      </c>
      <c r="G31" s="103">
        <f t="shared" si="4"/>
        <v>87.901902493240243</v>
      </c>
      <c r="H31" s="144"/>
      <c r="I31" s="144"/>
      <c r="J31" s="144"/>
      <c r="K31" s="144"/>
      <c r="L31" s="144"/>
      <c r="M31" s="144"/>
      <c r="N31" s="160"/>
    </row>
    <row r="32" spans="1:14">
      <c r="A32" s="64">
        <v>22</v>
      </c>
      <c r="B32" s="160">
        <f t="shared" si="0"/>
        <v>180</v>
      </c>
      <c r="C32" s="103">
        <f t="shared" si="1"/>
        <v>92.098097506759757</v>
      </c>
      <c r="D32" s="103">
        <f t="shared" si="2"/>
        <v>2762.9429252027926</v>
      </c>
      <c r="E32" s="144">
        <v>0</v>
      </c>
      <c r="F32" s="103">
        <f t="shared" si="3"/>
        <v>90.664845418443036</v>
      </c>
      <c r="G32" s="103">
        <f t="shared" si="4"/>
        <v>90.664845418443036</v>
      </c>
      <c r="H32" s="144"/>
      <c r="I32" s="144"/>
      <c r="J32" s="144"/>
      <c r="K32" s="144"/>
      <c r="L32" s="144"/>
      <c r="M32" s="144"/>
      <c r="N32" s="160"/>
    </row>
    <row r="33" spans="1:14">
      <c r="A33" s="64">
        <v>23</v>
      </c>
      <c r="B33" s="160">
        <f t="shared" si="0"/>
        <v>180</v>
      </c>
      <c r="C33" s="103">
        <f t="shared" si="1"/>
        <v>89.335154581556964</v>
      </c>
      <c r="D33" s="103">
        <f t="shared" si="2"/>
        <v>2680.054637446709</v>
      </c>
      <c r="E33" s="144">
        <v>0</v>
      </c>
      <c r="F33" s="103">
        <f t="shared" si="3"/>
        <v>93.344900055889752</v>
      </c>
      <c r="G33" s="103">
        <f t="shared" si="4"/>
        <v>93.344900055889752</v>
      </c>
      <c r="H33" s="144"/>
      <c r="I33" s="144"/>
      <c r="J33" s="144"/>
      <c r="K33" s="144"/>
      <c r="L33" s="144"/>
      <c r="M33" s="144"/>
      <c r="N33" s="160"/>
    </row>
    <row r="34" spans="1:14">
      <c r="A34" s="64">
        <v>24</v>
      </c>
      <c r="B34" s="160">
        <f t="shared" si="0"/>
        <v>180</v>
      </c>
      <c r="C34" s="103">
        <f t="shared" si="1"/>
        <v>86.655099944110248</v>
      </c>
      <c r="D34" s="103">
        <f t="shared" si="2"/>
        <v>2599.6529983233077</v>
      </c>
      <c r="E34" s="144">
        <v>0</v>
      </c>
      <c r="F34" s="103">
        <f t="shared" si="3"/>
        <v>95.94455305421306</v>
      </c>
      <c r="G34" s="103">
        <f t="shared" si="4"/>
        <v>95.94455305421306</v>
      </c>
      <c r="H34" s="144"/>
      <c r="I34" s="144"/>
      <c r="J34" s="144"/>
      <c r="K34" s="144"/>
      <c r="L34" s="144"/>
      <c r="M34" s="144"/>
      <c r="N34" s="160"/>
    </row>
    <row r="35" spans="1:14">
      <c r="A35" s="64">
        <v>25</v>
      </c>
      <c r="B35" s="160">
        <f t="shared" si="0"/>
        <v>180</v>
      </c>
      <c r="C35" s="103">
        <f t="shared" si="1"/>
        <v>84.05544694578694</v>
      </c>
      <c r="D35" s="103">
        <f t="shared" si="2"/>
        <v>2521.663408373608</v>
      </c>
      <c r="E35" s="144">
        <v>0</v>
      </c>
      <c r="F35" s="103">
        <f t="shared" si="3"/>
        <v>98.466216462586672</v>
      </c>
      <c r="G35" s="103">
        <f t="shared" si="4"/>
        <v>98.466216462586672</v>
      </c>
      <c r="H35" s="144"/>
      <c r="I35" s="144"/>
      <c r="J35" s="144"/>
      <c r="K35" s="144"/>
      <c r="L35" s="144"/>
      <c r="M35" s="144"/>
      <c r="N35" s="160"/>
    </row>
    <row r="36" spans="1:14">
      <c r="A36" s="64">
        <v>26</v>
      </c>
      <c r="B36" s="160">
        <f t="shared" si="0"/>
        <v>180</v>
      </c>
      <c r="C36" s="103">
        <f t="shared" si="1"/>
        <v>81.533783537413328</v>
      </c>
      <c r="D36" s="103">
        <f t="shared" si="2"/>
        <v>2446.0135061224</v>
      </c>
      <c r="E36" s="144">
        <v>0</v>
      </c>
      <c r="F36" s="103">
        <f t="shared" si="3"/>
        <v>100.91222996870907</v>
      </c>
      <c r="G36" s="103">
        <f t="shared" si="4"/>
        <v>100.91222996870907</v>
      </c>
      <c r="H36" s="144"/>
      <c r="I36" s="144"/>
      <c r="J36" s="144"/>
      <c r="K36" s="144"/>
      <c r="L36" s="144"/>
      <c r="M36" s="144"/>
      <c r="N36" s="160"/>
    </row>
    <row r="37" spans="1:14">
      <c r="A37" s="64">
        <v>27</v>
      </c>
      <c r="B37" s="160">
        <f t="shared" si="0"/>
        <v>180</v>
      </c>
      <c r="C37" s="103">
        <f t="shared" si="1"/>
        <v>79.08777003129093</v>
      </c>
      <c r="D37" s="103">
        <f t="shared" si="2"/>
        <v>2372.6331009387277</v>
      </c>
      <c r="E37" s="144">
        <v>0</v>
      </c>
      <c r="F37" s="103">
        <f t="shared" si="3"/>
        <v>103.2848630696478</v>
      </c>
      <c r="G37" s="103">
        <f t="shared" si="4"/>
        <v>103.2848630696478</v>
      </c>
      <c r="H37" s="144"/>
      <c r="I37" s="144"/>
      <c r="J37" s="144"/>
      <c r="K37" s="144"/>
      <c r="L37" s="144"/>
      <c r="M37" s="144"/>
      <c r="N37" s="160"/>
    </row>
    <row r="38" spans="1:14">
      <c r="A38" s="64">
        <v>28</v>
      </c>
      <c r="B38" s="160">
        <f t="shared" si="0"/>
        <v>180</v>
      </c>
      <c r="C38" s="103">
        <f t="shared" si="1"/>
        <v>76.715136930352202</v>
      </c>
      <c r="D38" s="103">
        <f t="shared" si="2"/>
        <v>2301.4541079105661</v>
      </c>
      <c r="E38" s="144">
        <v>0</v>
      </c>
      <c r="F38" s="103">
        <f t="shared" si="3"/>
        <v>105.58631717755837</v>
      </c>
      <c r="G38" s="103">
        <f t="shared" si="4"/>
        <v>105.58631717755837</v>
      </c>
      <c r="H38" s="144"/>
      <c r="I38" s="144"/>
      <c r="J38" s="144"/>
      <c r="K38" s="144"/>
      <c r="L38" s="144"/>
      <c r="M38" s="144"/>
      <c r="N38" s="160"/>
    </row>
    <row r="39" spans="1:14">
      <c r="A39" s="64">
        <v>29</v>
      </c>
      <c r="B39" s="160">
        <f t="shared" si="0"/>
        <v>180</v>
      </c>
      <c r="C39" s="103">
        <f t="shared" si="1"/>
        <v>74.413682822441629</v>
      </c>
      <c r="D39" s="103">
        <f t="shared" si="2"/>
        <v>2232.4104846732489</v>
      </c>
      <c r="E39" s="103">
        <v>0</v>
      </c>
      <c r="F39" s="103">
        <f t="shared" si="3"/>
        <v>107.81872766223162</v>
      </c>
      <c r="G39" s="103">
        <f t="shared" si="4"/>
        <v>107.81872766223162</v>
      </c>
      <c r="H39" s="144"/>
      <c r="I39" s="144"/>
      <c r="J39" s="144"/>
      <c r="K39" s="144"/>
      <c r="L39" s="144"/>
      <c r="M39" s="144"/>
      <c r="N39" s="160"/>
    </row>
    <row r="40" spans="1:14">
      <c r="A40" s="64">
        <v>30</v>
      </c>
      <c r="B40" s="160">
        <f t="shared" si="0"/>
        <v>180</v>
      </c>
      <c r="C40" s="103">
        <f t="shared" si="1"/>
        <v>72.181272337768377</v>
      </c>
      <c r="D40" s="103">
        <f t="shared" si="2"/>
        <v>2165.4381701330512</v>
      </c>
      <c r="E40" s="103">
        <v>0</v>
      </c>
      <c r="F40" s="103">
        <f t="shared" si="3"/>
        <v>109.98416583236468</v>
      </c>
      <c r="G40" s="103">
        <f t="shared" si="4"/>
        <v>109.98416583236468</v>
      </c>
      <c r="H40" s="144"/>
      <c r="I40" s="144"/>
      <c r="J40" s="144"/>
      <c r="K40" s="144"/>
      <c r="L40" s="144"/>
      <c r="M40" s="144"/>
      <c r="N40" s="160"/>
    </row>
    <row r="41" spans="1:14">
      <c r="A41" s="64">
        <v>31</v>
      </c>
      <c r="B41" s="160">
        <f t="shared" si="0"/>
        <v>180</v>
      </c>
      <c r="C41" s="103">
        <f t="shared" si="1"/>
        <v>70.015834167635319</v>
      </c>
      <c r="D41" s="103">
        <f t="shared" si="2"/>
        <v>2100.4750250290595</v>
      </c>
      <c r="E41" s="103">
        <v>0</v>
      </c>
      <c r="F41" s="103">
        <f t="shared" si="3"/>
        <v>112.08464085739374</v>
      </c>
      <c r="G41" s="103">
        <f t="shared" si="4"/>
        <v>112.08464085739374</v>
      </c>
      <c r="H41" s="144"/>
      <c r="I41" s="144"/>
      <c r="J41" s="144"/>
      <c r="K41" s="144"/>
      <c r="L41" s="144"/>
      <c r="M41" s="144"/>
      <c r="N41" s="160"/>
    </row>
    <row r="42" spans="1:14">
      <c r="A42" s="64">
        <v>32</v>
      </c>
      <c r="B42" s="160">
        <f t="shared" si="0"/>
        <v>180</v>
      </c>
      <c r="C42" s="103">
        <f t="shared" si="1"/>
        <v>67.915359142606263</v>
      </c>
      <c r="D42" s="103">
        <f t="shared" si="2"/>
        <v>2037.460774278188</v>
      </c>
      <c r="E42" s="103">
        <v>0</v>
      </c>
      <c r="F42" s="103">
        <f t="shared" si="3"/>
        <v>114.12210163167192</v>
      </c>
      <c r="G42" s="103">
        <f t="shared" si="4"/>
        <v>114.12210163167192</v>
      </c>
      <c r="H42" s="144"/>
      <c r="I42" s="144"/>
      <c r="J42" s="144"/>
      <c r="K42" s="144"/>
      <c r="L42" s="144"/>
      <c r="M42" s="144"/>
      <c r="N42" s="160"/>
    </row>
    <row r="43" spans="1:14">
      <c r="A43" s="64">
        <v>33</v>
      </c>
      <c r="B43" s="160">
        <f t="shared" si="0"/>
        <v>180</v>
      </c>
      <c r="C43" s="103">
        <f t="shared" si="1"/>
        <v>65.877898368328076</v>
      </c>
      <c r="D43" s="103">
        <f t="shared" si="2"/>
        <v>1976.3369510498424</v>
      </c>
      <c r="E43" s="103">
        <v>0</v>
      </c>
      <c r="F43" s="103">
        <f t="shared" si="3"/>
        <v>116.09843858272177</v>
      </c>
      <c r="G43" s="103">
        <f t="shared" si="4"/>
        <v>116.09843858272177</v>
      </c>
      <c r="H43" s="144"/>
      <c r="I43" s="144"/>
      <c r="J43" s="144"/>
      <c r="K43" s="144"/>
      <c r="L43" s="144"/>
      <c r="M43" s="144"/>
      <c r="N43" s="160"/>
    </row>
    <row r="44" spans="1:14">
      <c r="A44" s="64">
        <v>34</v>
      </c>
      <c r="B44" s="160">
        <f t="shared" si="0"/>
        <v>180</v>
      </c>
      <c r="C44" s="103">
        <f t="shared" si="1"/>
        <v>63.901561417278231</v>
      </c>
      <c r="D44" s="103">
        <f t="shared" si="2"/>
        <v>1917.0468425183469</v>
      </c>
      <c r="E44" s="103">
        <v>0</v>
      </c>
      <c r="F44" s="103">
        <f t="shared" si="3"/>
        <v>118.01548542524012</v>
      </c>
      <c r="G44" s="103">
        <f t="shared" si="4"/>
        <v>118.01548542524012</v>
      </c>
      <c r="H44" s="144"/>
      <c r="I44" s="144"/>
      <c r="J44" s="144"/>
      <c r="K44" s="144"/>
      <c r="L44" s="144"/>
      <c r="M44" s="144"/>
      <c r="N44" s="160"/>
    </row>
    <row r="45" spans="1:14">
      <c r="A45" s="64">
        <v>35</v>
      </c>
      <c r="B45" s="160">
        <f t="shared" si="0"/>
        <v>180</v>
      </c>
      <c r="C45" s="103">
        <f t="shared" si="1"/>
        <v>61.984514574759885</v>
      </c>
      <c r="D45" s="103">
        <f t="shared" si="2"/>
        <v>1859.5354372427964</v>
      </c>
      <c r="E45" s="103">
        <v>0</v>
      </c>
      <c r="F45" s="103">
        <f t="shared" si="3"/>
        <v>119.87502086248291</v>
      </c>
      <c r="G45" s="103">
        <f t="shared" si="4"/>
        <v>119.87502086248291</v>
      </c>
      <c r="H45" s="144"/>
      <c r="I45" s="144"/>
      <c r="J45" s="144"/>
      <c r="K45" s="144"/>
      <c r="L45" s="144"/>
      <c r="M45" s="144"/>
      <c r="N45" s="160"/>
    </row>
    <row r="46" spans="1:14">
      <c r="A46" s="64">
        <v>36</v>
      </c>
      <c r="B46" s="160">
        <f t="shared" si="0"/>
        <v>180</v>
      </c>
      <c r="C46" s="103">
        <f t="shared" si="1"/>
        <v>60.124979137517087</v>
      </c>
      <c r="D46" s="103">
        <f t="shared" si="2"/>
        <v>1803.7493741255125</v>
      </c>
      <c r="E46" s="103">
        <v>0</v>
      </c>
      <c r="F46" s="103">
        <f t="shared" si="3"/>
        <v>121.67877023660843</v>
      </c>
      <c r="G46" s="103">
        <f t="shared" si="4"/>
        <v>121.67877023660843</v>
      </c>
      <c r="H46" s="144"/>
      <c r="I46" s="144"/>
      <c r="J46" s="144"/>
      <c r="K46" s="144"/>
      <c r="L46" s="144"/>
      <c r="M46" s="144"/>
      <c r="N46" s="160"/>
    </row>
    <row r="47" spans="1:14">
      <c r="A47" s="64">
        <v>37</v>
      </c>
      <c r="B47" s="160">
        <f t="shared" si="0"/>
        <v>180</v>
      </c>
      <c r="C47" s="103">
        <f t="shared" si="1"/>
        <v>58.321229763391571</v>
      </c>
      <c r="D47" s="103">
        <f t="shared" si="2"/>
        <v>1749.6368929017472</v>
      </c>
      <c r="E47" s="103">
        <v>0</v>
      </c>
      <c r="F47" s="103">
        <f t="shared" si="3"/>
        <v>123.42840712951018</v>
      </c>
      <c r="G47" s="103">
        <f t="shared" si="4"/>
        <v>123.42840712951018</v>
      </c>
      <c r="H47" s="144"/>
      <c r="I47" s="144"/>
      <c r="J47" s="144"/>
      <c r="K47" s="144"/>
      <c r="L47" s="144"/>
      <c r="M47" s="144"/>
      <c r="N47" s="160"/>
    </row>
    <row r="48" spans="1:14">
      <c r="A48" s="64">
        <v>38</v>
      </c>
      <c r="B48" s="160">
        <f t="shared" si="0"/>
        <v>180</v>
      </c>
      <c r="C48" s="103">
        <f t="shared" si="1"/>
        <v>56.571592870489823</v>
      </c>
      <c r="D48" s="103">
        <f t="shared" si="2"/>
        <v>1697.1477861146948</v>
      </c>
      <c r="E48" s="103">
        <v>0</v>
      </c>
      <c r="F48" s="103">
        <f t="shared" si="3"/>
        <v>125.12555491562487</v>
      </c>
      <c r="G48" s="103">
        <f t="shared" si="4"/>
        <v>125.12555491562487</v>
      </c>
      <c r="H48" s="144"/>
      <c r="I48" s="144"/>
      <c r="J48" s="144"/>
      <c r="K48" s="144"/>
      <c r="L48" s="144"/>
      <c r="M48" s="144"/>
      <c r="N48" s="160"/>
    </row>
    <row r="49" spans="1:14">
      <c r="A49" s="64">
        <v>39</v>
      </c>
      <c r="B49" s="160">
        <f t="shared" si="0"/>
        <v>180</v>
      </c>
      <c r="C49" s="103">
        <f t="shared" si="1"/>
        <v>54.874445084375125</v>
      </c>
      <c r="D49" s="103">
        <f t="shared" si="2"/>
        <v>1646.2333525312538</v>
      </c>
      <c r="E49" s="103">
        <v>0</v>
      </c>
      <c r="F49" s="103">
        <f t="shared" si="3"/>
        <v>126.77178826815613</v>
      </c>
      <c r="G49" s="103">
        <f t="shared" si="4"/>
        <v>126.77178826815613</v>
      </c>
      <c r="H49" s="144"/>
      <c r="I49" s="144"/>
      <c r="J49" s="144"/>
      <c r="K49" s="144"/>
      <c r="L49" s="144"/>
      <c r="M49" s="144"/>
      <c r="N49" s="160"/>
    </row>
    <row r="50" spans="1:14">
      <c r="A50" s="64">
        <v>40</v>
      </c>
      <c r="B50" s="160">
        <f t="shared" si="0"/>
        <v>180</v>
      </c>
      <c r="C50" s="103">
        <f t="shared" si="1"/>
        <v>53.228211731843871</v>
      </c>
      <c r="D50" s="103">
        <f t="shared" si="2"/>
        <v>1596.8463519553161</v>
      </c>
      <c r="E50" s="103">
        <v>0</v>
      </c>
      <c r="F50" s="103">
        <f t="shared" si="3"/>
        <v>128.36863462011144</v>
      </c>
      <c r="G50" s="103">
        <f t="shared" si="4"/>
        <v>128.36863462011144</v>
      </c>
      <c r="H50" s="144"/>
      <c r="I50" s="144"/>
      <c r="J50" s="144"/>
      <c r="K50" s="144"/>
      <c r="L50" s="144"/>
      <c r="M50" s="144"/>
      <c r="N50" s="160"/>
    </row>
    <row r="51" spans="1:14">
      <c r="A51" s="64">
        <v>41</v>
      </c>
      <c r="B51" s="160">
        <f t="shared" si="0"/>
        <v>180</v>
      </c>
      <c r="C51" s="103">
        <f t="shared" si="1"/>
        <v>51.631365379888564</v>
      </c>
      <c r="D51" s="103">
        <f t="shared" si="2"/>
        <v>1548.9409613966568</v>
      </c>
      <c r="E51" s="103">
        <v>0</v>
      </c>
      <c r="F51" s="103">
        <f t="shared" si="3"/>
        <v>129.91757558150809</v>
      </c>
      <c r="G51" s="103">
        <f t="shared" si="4"/>
        <v>129.91757558150809</v>
      </c>
      <c r="H51" s="144"/>
      <c r="I51" s="144"/>
      <c r="J51" s="144"/>
      <c r="K51" s="144"/>
      <c r="L51" s="144"/>
      <c r="M51" s="144"/>
      <c r="N51" s="160"/>
    </row>
    <row r="52" spans="1:14">
      <c r="A52" s="64">
        <v>42</v>
      </c>
      <c r="B52" s="160">
        <f t="shared" si="0"/>
        <v>180</v>
      </c>
      <c r="C52" s="103">
        <f t="shared" si="1"/>
        <v>50.082424418491911</v>
      </c>
      <c r="D52" s="103">
        <f t="shared" si="2"/>
        <v>1502.4727325547574</v>
      </c>
      <c r="E52" s="103">
        <v>0</v>
      </c>
      <c r="F52" s="103">
        <f t="shared" si="3"/>
        <v>131.42004831406285</v>
      </c>
      <c r="G52" s="103">
        <f t="shared" si="4"/>
        <v>131.42004831406285</v>
      </c>
      <c r="H52" s="144"/>
      <c r="I52" s="144"/>
      <c r="J52" s="144"/>
      <c r="K52" s="144"/>
      <c r="L52" s="144"/>
      <c r="M52" s="144"/>
      <c r="N52" s="160"/>
    </row>
    <row r="53" spans="1:14">
      <c r="A53" s="64">
        <v>43</v>
      </c>
      <c r="B53" s="160">
        <f t="shared" si="0"/>
        <v>180</v>
      </c>
      <c r="C53" s="103">
        <f t="shared" si="1"/>
        <v>48.579951685937147</v>
      </c>
      <c r="D53" s="103">
        <f t="shared" si="2"/>
        <v>1457.3985505781143</v>
      </c>
      <c r="E53" s="103">
        <v>0</v>
      </c>
      <c r="F53" s="103">
        <f t="shared" si="3"/>
        <v>132.87744686464097</v>
      </c>
      <c r="G53" s="103">
        <f t="shared" si="4"/>
        <v>132.87744686464097</v>
      </c>
      <c r="H53" s="144"/>
      <c r="I53" s="144"/>
      <c r="J53" s="144"/>
      <c r="K53" s="144"/>
      <c r="L53" s="144"/>
      <c r="M53" s="144"/>
      <c r="N53" s="160"/>
    </row>
    <row r="54" spans="1:14">
      <c r="A54" s="64">
        <v>44</v>
      </c>
      <c r="B54" s="160">
        <f t="shared" si="0"/>
        <v>180</v>
      </c>
      <c r="C54" s="103">
        <f t="shared" si="1"/>
        <v>47.122553135359027</v>
      </c>
      <c r="D54" s="103">
        <f t="shared" si="2"/>
        <v>1413.6765940607709</v>
      </c>
      <c r="E54" s="103">
        <v>0</v>
      </c>
      <c r="F54" s="103">
        <f t="shared" si="3"/>
        <v>134.29112345870175</v>
      </c>
      <c r="G54" s="103">
        <f t="shared" si="4"/>
        <v>134.29112345870175</v>
      </c>
      <c r="H54" s="144"/>
      <c r="I54" s="144"/>
      <c r="J54" s="144"/>
      <c r="K54" s="144"/>
      <c r="L54" s="144"/>
      <c r="M54" s="144"/>
      <c r="N54" s="160"/>
    </row>
    <row r="55" spans="1:14">
      <c r="A55" s="64">
        <v>45</v>
      </c>
      <c r="B55" s="160">
        <f t="shared" si="0"/>
        <v>180</v>
      </c>
      <c r="C55" s="103">
        <f t="shared" si="1"/>
        <v>45.708876541298253</v>
      </c>
      <c r="D55" s="103">
        <f t="shared" si="2"/>
        <v>1371.2662962389477</v>
      </c>
      <c r="E55" s="103">
        <v>0</v>
      </c>
      <c r="F55" s="103">
        <f t="shared" si="3"/>
        <v>135.6623897549407</v>
      </c>
      <c r="G55" s="103">
        <f t="shared" si="4"/>
        <v>135.6623897549407</v>
      </c>
      <c r="H55" s="144"/>
      <c r="I55" s="144"/>
      <c r="J55" s="144"/>
      <c r="K55" s="144"/>
      <c r="L55" s="144"/>
      <c r="M55" s="144"/>
      <c r="N55" s="160"/>
    </row>
    <row r="56" spans="1:14">
      <c r="A56" s="64">
        <v>46</v>
      </c>
      <c r="B56" s="160">
        <f t="shared" si="0"/>
        <v>180</v>
      </c>
      <c r="C56" s="103">
        <f t="shared" si="1"/>
        <v>44.337610245059295</v>
      </c>
      <c r="D56" s="103">
        <f t="shared" si="2"/>
        <v>1330.1283073517789</v>
      </c>
      <c r="E56" s="103">
        <v>0</v>
      </c>
      <c r="F56" s="103">
        <f t="shared" si="3"/>
        <v>136.99251806229248</v>
      </c>
      <c r="G56" s="103">
        <f t="shared" si="4"/>
        <v>136.99251806229248</v>
      </c>
      <c r="H56" s="144"/>
      <c r="I56" s="144"/>
      <c r="J56" s="144"/>
      <c r="K56" s="144"/>
      <c r="L56" s="144"/>
      <c r="M56" s="144"/>
      <c r="N56" s="160"/>
    </row>
    <row r="57" spans="1:14">
      <c r="A57" s="64">
        <v>47</v>
      </c>
      <c r="B57" s="160">
        <f t="shared" si="0"/>
        <v>180</v>
      </c>
      <c r="C57" s="103">
        <f t="shared" si="1"/>
        <v>43.007481937707524</v>
      </c>
      <c r="D57" s="103">
        <f t="shared" si="2"/>
        <v>1290.2244581312257</v>
      </c>
      <c r="E57" s="103">
        <v>0</v>
      </c>
      <c r="F57" s="103">
        <f t="shared" si="3"/>
        <v>138.28274252042371</v>
      </c>
      <c r="G57" s="103">
        <f t="shared" si="4"/>
        <v>138.28274252042371</v>
      </c>
      <c r="H57" s="144"/>
      <c r="I57" s="144"/>
      <c r="J57" s="144"/>
      <c r="K57" s="144"/>
      <c r="L57" s="144"/>
      <c r="M57" s="144"/>
      <c r="N57" s="160"/>
    </row>
    <row r="58" spans="1:14">
      <c r="A58" s="64">
        <v>48</v>
      </c>
      <c r="B58" s="160">
        <f t="shared" si="0"/>
        <v>180</v>
      </c>
      <c r="C58" s="103">
        <f t="shared" si="1"/>
        <v>41.71725747957629</v>
      </c>
      <c r="D58" s="103">
        <f t="shared" si="2"/>
        <v>1251.5177243872886</v>
      </c>
      <c r="E58" s="103">
        <v>0</v>
      </c>
      <c r="F58" s="103">
        <f t="shared" si="3"/>
        <v>139.53426024481101</v>
      </c>
      <c r="G58" s="103">
        <f t="shared" si="4"/>
        <v>139.53426024481101</v>
      </c>
      <c r="H58" s="144"/>
      <c r="I58" s="144"/>
      <c r="J58" s="144"/>
      <c r="K58" s="144"/>
      <c r="L58" s="144"/>
      <c r="M58" s="144"/>
      <c r="N58" s="160"/>
    </row>
    <row r="59" spans="1:14">
      <c r="A59" s="64">
        <v>49</v>
      </c>
      <c r="B59" s="160">
        <f t="shared" si="0"/>
        <v>180</v>
      </c>
      <c r="C59" s="103">
        <f t="shared" si="1"/>
        <v>40.465739755188991</v>
      </c>
      <c r="D59" s="103">
        <f t="shared" si="2"/>
        <v>1213.9721926556697</v>
      </c>
      <c r="E59" s="103">
        <v>0</v>
      </c>
      <c r="F59" s="103">
        <f t="shared" si="3"/>
        <v>140.74823243746667</v>
      </c>
      <c r="G59" s="103">
        <f t="shared" si="4"/>
        <v>140.74823243746667</v>
      </c>
      <c r="H59" s="144"/>
      <c r="I59" s="144"/>
      <c r="J59" s="144"/>
      <c r="K59" s="144"/>
      <c r="L59" s="144"/>
      <c r="M59" s="144"/>
      <c r="N59" s="160"/>
    </row>
    <row r="60" spans="1:14">
      <c r="A60" s="64">
        <v>50</v>
      </c>
      <c r="B60" s="160">
        <f t="shared" si="0"/>
        <v>180</v>
      </c>
      <c r="C60" s="103">
        <f t="shared" si="1"/>
        <v>39.251767562533331</v>
      </c>
      <c r="D60" s="103">
        <f t="shared" si="2"/>
        <v>1177.5530268759999</v>
      </c>
      <c r="E60" s="103">
        <v>0</v>
      </c>
      <c r="F60" s="103">
        <f t="shared" si="3"/>
        <v>141.92578546434268</v>
      </c>
      <c r="G60" s="103">
        <f t="shared" si="4"/>
        <v>141.92578546434268</v>
      </c>
      <c r="H60" s="144"/>
      <c r="I60" s="144"/>
      <c r="J60" s="144"/>
      <c r="K60" s="144"/>
      <c r="L60" s="144"/>
      <c r="M60" s="144"/>
      <c r="N60" s="160"/>
    </row>
    <row r="61" spans="1:14">
      <c r="A61" s="64">
        <v>51</v>
      </c>
      <c r="B61" s="160">
        <f t="shared" si="0"/>
        <v>180</v>
      </c>
      <c r="C61" s="103">
        <f t="shared" si="1"/>
        <v>38.074214535657319</v>
      </c>
      <c r="D61" s="103">
        <f t="shared" si="2"/>
        <v>1142.2264360697195</v>
      </c>
      <c r="E61" s="103">
        <v>0</v>
      </c>
      <c r="F61" s="103">
        <f t="shared" si="3"/>
        <v>143.06801190041239</v>
      </c>
      <c r="G61" s="103">
        <f t="shared" si="4"/>
        <v>143.06801190041239</v>
      </c>
      <c r="H61" s="144"/>
      <c r="I61" s="144"/>
      <c r="J61" s="144"/>
      <c r="K61" s="144"/>
      <c r="L61" s="144"/>
      <c r="M61" s="144"/>
      <c r="N61" s="160"/>
    </row>
    <row r="62" spans="1:14">
      <c r="A62" s="64">
        <v>52</v>
      </c>
      <c r="B62" s="160">
        <f t="shared" si="0"/>
        <v>180</v>
      </c>
      <c r="C62" s="103">
        <f t="shared" si="1"/>
        <v>36.931988099587613</v>
      </c>
      <c r="D62" s="103">
        <f t="shared" si="2"/>
        <v>1107.9596429876283</v>
      </c>
      <c r="E62" s="103">
        <v>0</v>
      </c>
      <c r="F62" s="103">
        <f t="shared" si="3"/>
        <v>144.17597154340001</v>
      </c>
      <c r="G62" s="103">
        <f t="shared" si="4"/>
        <v>144.17597154340001</v>
      </c>
      <c r="H62" s="144"/>
      <c r="I62" s="144"/>
      <c r="J62" s="144"/>
      <c r="K62" s="144"/>
      <c r="L62" s="144"/>
      <c r="M62" s="144"/>
      <c r="N62" s="160"/>
    </row>
    <row r="63" spans="1:14">
      <c r="A63" s="64">
        <v>53</v>
      </c>
      <c r="B63" s="160">
        <f t="shared" si="0"/>
        <v>180</v>
      </c>
      <c r="C63" s="103">
        <f t="shared" si="1"/>
        <v>35.82402845659999</v>
      </c>
      <c r="D63" s="103">
        <f t="shared" si="2"/>
        <v>1074.7208536979997</v>
      </c>
      <c r="E63" s="103">
        <v>0</v>
      </c>
      <c r="F63" s="103">
        <f t="shared" si="3"/>
        <v>145.25069239709802</v>
      </c>
      <c r="G63" s="103">
        <f t="shared" si="4"/>
        <v>145.25069239709802</v>
      </c>
      <c r="H63" s="144"/>
      <c r="I63" s="144"/>
      <c r="J63" s="144"/>
      <c r="K63" s="144"/>
      <c r="L63" s="144"/>
      <c r="M63" s="144"/>
      <c r="N63" s="160"/>
    </row>
    <row r="64" spans="1:14">
      <c r="A64" s="64">
        <v>54</v>
      </c>
      <c r="B64" s="160">
        <f t="shared" si="0"/>
        <v>180</v>
      </c>
      <c r="C64" s="103">
        <f t="shared" si="1"/>
        <v>34.749307602901979</v>
      </c>
      <c r="D64" s="103">
        <f t="shared" si="2"/>
        <v>1042.4792280870593</v>
      </c>
      <c r="E64" s="103">
        <v>0</v>
      </c>
      <c r="F64" s="103">
        <f t="shared" si="3"/>
        <v>146.29317162518507</v>
      </c>
      <c r="G64" s="103">
        <f t="shared" si="4"/>
        <v>146.29317162518507</v>
      </c>
      <c r="H64" s="144"/>
      <c r="I64" s="144"/>
      <c r="J64" s="144"/>
      <c r="K64" s="144"/>
      <c r="L64" s="144"/>
      <c r="M64" s="144"/>
      <c r="N64" s="160"/>
    </row>
    <row r="65" spans="1:14">
      <c r="A65" s="64">
        <v>55</v>
      </c>
      <c r="B65" s="160">
        <f t="shared" si="0"/>
        <v>180</v>
      </c>
      <c r="C65" s="103">
        <f t="shared" si="1"/>
        <v>33.706828374814933</v>
      </c>
      <c r="D65" s="103">
        <f t="shared" si="2"/>
        <v>1011.204851244448</v>
      </c>
      <c r="E65" s="103">
        <v>0</v>
      </c>
      <c r="F65" s="103">
        <f t="shared" si="3"/>
        <v>147.30437647642952</v>
      </c>
      <c r="G65" s="103">
        <f t="shared" si="4"/>
        <v>147.30437647642952</v>
      </c>
      <c r="H65" s="144"/>
      <c r="I65" s="144"/>
      <c r="J65" s="144"/>
      <c r="K65" s="144"/>
      <c r="L65" s="144"/>
      <c r="M65" s="144"/>
      <c r="N65" s="160"/>
    </row>
    <row r="66" spans="1:14">
      <c r="A66" s="64">
        <v>56</v>
      </c>
      <c r="B66" s="160">
        <f t="shared" si="0"/>
        <v>180</v>
      </c>
      <c r="C66" s="103">
        <f t="shared" si="1"/>
        <v>32.695623523570475</v>
      </c>
      <c r="D66" s="103">
        <f t="shared" si="2"/>
        <v>980.86870570711426</v>
      </c>
      <c r="E66" s="103">
        <v>0</v>
      </c>
      <c r="F66" s="103">
        <f t="shared" si="3"/>
        <v>148.28524518213663</v>
      </c>
      <c r="G66" s="103">
        <f t="shared" si="4"/>
        <v>148.28524518213663</v>
      </c>
      <c r="H66" s="144"/>
      <c r="I66" s="144"/>
      <c r="J66" s="144"/>
      <c r="K66" s="144"/>
      <c r="L66" s="144"/>
      <c r="M66" s="144"/>
      <c r="N66" s="160"/>
    </row>
    <row r="67" spans="1:14">
      <c r="A67" s="64">
        <v>57</v>
      </c>
      <c r="B67" s="160">
        <f t="shared" si="0"/>
        <v>180</v>
      </c>
      <c r="C67" s="103">
        <f t="shared" si="1"/>
        <v>31.714754817863366</v>
      </c>
      <c r="D67" s="103">
        <f t="shared" si="2"/>
        <v>951.44264453590097</v>
      </c>
      <c r="E67" s="103">
        <v>0</v>
      </c>
      <c r="F67" s="103">
        <f t="shared" si="3"/>
        <v>149.23668782667252</v>
      </c>
      <c r="G67" s="103">
        <f t="shared" si="4"/>
        <v>149.23668782667252</v>
      </c>
      <c r="H67" s="144"/>
      <c r="I67" s="144"/>
      <c r="J67" s="144"/>
      <c r="K67" s="144"/>
      <c r="L67" s="144"/>
      <c r="M67" s="144"/>
      <c r="N67" s="160"/>
    </row>
    <row r="68" spans="1:14">
      <c r="A68" s="64">
        <v>58</v>
      </c>
      <c r="B68" s="160">
        <f t="shared" si="0"/>
        <v>180</v>
      </c>
      <c r="C68" s="103">
        <f t="shared" si="1"/>
        <v>30.763312173327478</v>
      </c>
      <c r="D68" s="103">
        <f t="shared" si="2"/>
        <v>922.89936519982439</v>
      </c>
      <c r="E68" s="103">
        <v>0</v>
      </c>
      <c r="F68" s="103">
        <f t="shared" si="3"/>
        <v>150.15958719187233</v>
      </c>
      <c r="G68" s="103">
        <f t="shared" si="4"/>
        <v>150.15958719187233</v>
      </c>
      <c r="H68" s="144"/>
      <c r="I68" s="144"/>
      <c r="J68" s="144"/>
      <c r="K68" s="144"/>
      <c r="L68" s="144"/>
      <c r="M68" s="144"/>
      <c r="N68" s="160"/>
    </row>
    <row r="69" spans="1:14">
      <c r="A69" s="64">
        <v>59</v>
      </c>
      <c r="B69" s="160">
        <f t="shared" si="0"/>
        <v>180</v>
      </c>
      <c r="C69" s="103">
        <f t="shared" si="1"/>
        <v>29.840412808127667</v>
      </c>
      <c r="D69" s="103">
        <f t="shared" si="2"/>
        <v>895.21238424383</v>
      </c>
      <c r="E69" s="103">
        <v>0</v>
      </c>
      <c r="F69" s="103">
        <f t="shared" si="3"/>
        <v>151.05479957611615</v>
      </c>
      <c r="G69" s="103">
        <f t="shared" si="4"/>
        <v>151.05479957611615</v>
      </c>
      <c r="H69" s="144"/>
      <c r="I69" s="144"/>
      <c r="J69" s="144"/>
      <c r="K69" s="144"/>
      <c r="L69" s="144"/>
      <c r="M69" s="144"/>
      <c r="N69" s="160"/>
    </row>
    <row r="70" spans="1:14">
      <c r="A70" s="64">
        <v>60</v>
      </c>
      <c r="B70" s="160">
        <f t="shared" si="0"/>
        <v>180</v>
      </c>
      <c r="C70" s="103">
        <f t="shared" si="1"/>
        <v>28.945200423883847</v>
      </c>
      <c r="D70" s="103">
        <f t="shared" si="2"/>
        <v>868.35601271651535</v>
      </c>
      <c r="E70" s="103">
        <v>0</v>
      </c>
      <c r="F70" s="103">
        <f t="shared" si="3"/>
        <v>151.92315558883266</v>
      </c>
      <c r="G70" s="103">
        <f t="shared" si="4"/>
        <v>151.92315558883266</v>
      </c>
      <c r="H70" s="144"/>
      <c r="I70" s="144"/>
      <c r="J70" s="144"/>
      <c r="K70" s="144"/>
      <c r="L70" s="144"/>
      <c r="M70" s="144"/>
      <c r="N70" s="160"/>
    </row>
    <row r="71" spans="1:14">
      <c r="A71" s="64">
        <v>61</v>
      </c>
      <c r="B71" s="160">
        <f t="shared" si="0"/>
        <v>180</v>
      </c>
      <c r="C71" s="103">
        <f t="shared" si="1"/>
        <v>28.076844411167343</v>
      </c>
      <c r="D71" s="103">
        <f t="shared" si="2"/>
        <v>842.30533233502024</v>
      </c>
      <c r="E71" s="103">
        <v>0</v>
      </c>
      <c r="F71" s="103">
        <f t="shared" si="3"/>
        <v>152.76546092116769</v>
      </c>
      <c r="G71" s="103">
        <f t="shared" si="4"/>
        <v>152.76546092116769</v>
      </c>
      <c r="H71" s="144"/>
      <c r="I71" s="144"/>
      <c r="J71" s="144"/>
      <c r="K71" s="144"/>
      <c r="L71" s="144"/>
      <c r="M71" s="144"/>
      <c r="N71" s="160"/>
    </row>
    <row r="72" spans="1:14">
      <c r="A72" s="64">
        <v>62</v>
      </c>
      <c r="B72" s="160">
        <f t="shared" si="0"/>
        <v>180</v>
      </c>
      <c r="C72" s="103">
        <f t="shared" si="1"/>
        <v>27.234539078832313</v>
      </c>
      <c r="D72" s="103">
        <f t="shared" si="2"/>
        <v>817.03617236496939</v>
      </c>
      <c r="E72" s="103">
        <v>0</v>
      </c>
      <c r="F72" s="103">
        <f t="shared" si="3"/>
        <v>153.58249709353265</v>
      </c>
      <c r="G72" s="103">
        <f t="shared" si="4"/>
        <v>153.58249709353265</v>
      </c>
      <c r="H72" s="144"/>
      <c r="I72" s="144"/>
      <c r="J72" s="144"/>
      <c r="K72" s="144"/>
      <c r="L72" s="144"/>
      <c r="M72" s="144"/>
      <c r="N72" s="160"/>
    </row>
    <row r="73" spans="1:14">
      <c r="A73" s="64">
        <v>63</v>
      </c>
      <c r="B73" s="160">
        <f t="shared" si="0"/>
        <v>180</v>
      </c>
      <c r="C73" s="103">
        <f t="shared" si="1"/>
        <v>26.417502906467348</v>
      </c>
      <c r="D73" s="103">
        <f t="shared" si="2"/>
        <v>792.52508719402044</v>
      </c>
      <c r="E73" s="103">
        <v>0</v>
      </c>
      <c r="F73" s="103">
        <f t="shared" si="3"/>
        <v>154.37502218072666</v>
      </c>
      <c r="G73" s="103">
        <f t="shared" si="4"/>
        <v>154.37502218072666</v>
      </c>
      <c r="H73" s="144"/>
      <c r="I73" s="144"/>
      <c r="J73" s="144"/>
      <c r="K73" s="144"/>
      <c r="L73" s="144"/>
      <c r="M73" s="144"/>
      <c r="N73" s="160"/>
    </row>
    <row r="74" spans="1:14">
      <c r="A74" s="64">
        <v>64</v>
      </c>
      <c r="B74" s="160">
        <f t="shared" si="0"/>
        <v>180</v>
      </c>
      <c r="C74" s="103">
        <f t="shared" si="1"/>
        <v>25.62497781927334</v>
      </c>
      <c r="D74" s="103">
        <f t="shared" si="2"/>
        <v>768.74933457820021</v>
      </c>
      <c r="E74" s="103">
        <v>0</v>
      </c>
      <c r="F74" s="103">
        <f t="shared" si="3"/>
        <v>155.14377151530485</v>
      </c>
      <c r="G74" s="103">
        <f t="shared" si="4"/>
        <v>155.14377151530485</v>
      </c>
      <c r="H74" s="144"/>
      <c r="I74" s="144"/>
      <c r="J74" s="144"/>
      <c r="K74" s="144"/>
      <c r="L74" s="144"/>
      <c r="M74" s="144"/>
      <c r="N74" s="160"/>
    </row>
    <row r="75" spans="1:14">
      <c r="A75" s="64">
        <v>65</v>
      </c>
      <c r="B75" s="160">
        <f t="shared" ref="B75:B138" si="5">$C$3</f>
        <v>180</v>
      </c>
      <c r="C75" s="103">
        <f t="shared" ref="C75:C138" si="6">B75-G74</f>
        <v>24.856228484695151</v>
      </c>
      <c r="D75" s="103">
        <f t="shared" ref="D75:D138" si="7">$N$5*C75</f>
        <v>745.68685454085448</v>
      </c>
      <c r="E75" s="103">
        <v>0</v>
      </c>
      <c r="F75" s="103">
        <f t="shared" ref="F75:F138" si="8">(D75/$C$1-E75/$C$1+F74)*$I$5</f>
        <v>155.8894583698457</v>
      </c>
      <c r="G75" s="103">
        <f t="shared" ref="G75:G138" si="9">(D75/$C$1-E75/$C$1+G74)*$I$5</f>
        <v>155.8894583698457</v>
      </c>
      <c r="H75" s="144"/>
      <c r="I75" s="144"/>
      <c r="J75" s="144"/>
      <c r="K75" s="144"/>
      <c r="L75" s="144"/>
      <c r="M75" s="144"/>
      <c r="N75" s="160"/>
    </row>
    <row r="76" spans="1:14">
      <c r="A76" s="64">
        <v>66</v>
      </c>
      <c r="B76" s="160">
        <f t="shared" si="5"/>
        <v>180</v>
      </c>
      <c r="C76" s="103">
        <f t="shared" si="6"/>
        <v>24.110541630154302</v>
      </c>
      <c r="D76" s="103">
        <f t="shared" si="7"/>
        <v>723.31624890462899</v>
      </c>
      <c r="E76" s="103">
        <v>0</v>
      </c>
      <c r="F76" s="103">
        <f t="shared" si="8"/>
        <v>156.61277461875034</v>
      </c>
      <c r="G76" s="103">
        <f t="shared" si="9"/>
        <v>156.61277461875034</v>
      </c>
      <c r="H76" s="144"/>
      <c r="I76" s="144"/>
      <c r="J76" s="144"/>
      <c r="K76" s="144"/>
      <c r="L76" s="144"/>
      <c r="M76" s="144"/>
      <c r="N76" s="160"/>
    </row>
    <row r="77" spans="1:14">
      <c r="A77" s="64">
        <v>67</v>
      </c>
      <c r="B77" s="160">
        <f t="shared" si="5"/>
        <v>180</v>
      </c>
      <c r="C77" s="103">
        <f t="shared" si="6"/>
        <v>23.387225381249664</v>
      </c>
      <c r="D77" s="103">
        <f t="shared" si="7"/>
        <v>701.61676143748991</v>
      </c>
      <c r="E77" s="103">
        <v>0</v>
      </c>
      <c r="F77" s="103">
        <f t="shared" si="8"/>
        <v>157.31439138018783</v>
      </c>
      <c r="G77" s="103">
        <f t="shared" si="9"/>
        <v>157.31439138018783</v>
      </c>
      <c r="H77" s="144"/>
      <c r="I77" s="144"/>
      <c r="J77" s="144"/>
      <c r="K77" s="144"/>
      <c r="L77" s="144"/>
      <c r="M77" s="144"/>
      <c r="N77" s="160"/>
    </row>
    <row r="78" spans="1:14">
      <c r="A78" s="64">
        <v>68</v>
      </c>
      <c r="B78" s="160">
        <f t="shared" si="5"/>
        <v>180</v>
      </c>
      <c r="C78" s="103">
        <f t="shared" si="6"/>
        <v>22.685608619812172</v>
      </c>
      <c r="D78" s="103">
        <f t="shared" si="7"/>
        <v>680.56825859436515</v>
      </c>
      <c r="E78" s="103">
        <v>0</v>
      </c>
      <c r="F78" s="103">
        <f t="shared" si="8"/>
        <v>157.99495963878221</v>
      </c>
      <c r="G78" s="103">
        <f t="shared" si="9"/>
        <v>157.99495963878221</v>
      </c>
      <c r="H78" s="144"/>
      <c r="I78" s="144"/>
      <c r="J78" s="144"/>
      <c r="K78" s="144"/>
      <c r="L78" s="144"/>
      <c r="M78" s="144"/>
      <c r="N78" s="160"/>
    </row>
    <row r="79" spans="1:14">
      <c r="A79" s="64">
        <v>69</v>
      </c>
      <c r="B79" s="160">
        <f t="shared" si="5"/>
        <v>180</v>
      </c>
      <c r="C79" s="103">
        <f t="shared" si="6"/>
        <v>22.005040361217794</v>
      </c>
      <c r="D79" s="103">
        <f t="shared" si="7"/>
        <v>660.15121083653389</v>
      </c>
      <c r="E79" s="103">
        <v>0</v>
      </c>
      <c r="F79" s="103">
        <f t="shared" si="8"/>
        <v>158.65511084961875</v>
      </c>
      <c r="G79" s="103">
        <f t="shared" si="9"/>
        <v>158.65511084961875</v>
      </c>
      <c r="H79" s="144"/>
      <c r="I79" s="144"/>
      <c r="J79" s="144"/>
      <c r="K79" s="144"/>
      <c r="L79" s="144"/>
      <c r="M79" s="144"/>
      <c r="N79" s="160"/>
    </row>
    <row r="80" spans="1:14">
      <c r="A80" s="64">
        <v>70</v>
      </c>
      <c r="B80" s="160">
        <f t="shared" si="5"/>
        <v>180</v>
      </c>
      <c r="C80" s="103">
        <f t="shared" si="6"/>
        <v>21.344889150381249</v>
      </c>
      <c r="D80" s="103">
        <f t="shared" si="7"/>
        <v>640.34667451143741</v>
      </c>
      <c r="E80" s="103">
        <v>0</v>
      </c>
      <c r="F80" s="103">
        <f t="shared" si="8"/>
        <v>159.2954575241302</v>
      </c>
      <c r="G80" s="103">
        <f t="shared" si="9"/>
        <v>159.2954575241302</v>
      </c>
      <c r="H80" s="144"/>
      <c r="I80" s="144"/>
      <c r="J80" s="144"/>
      <c r="K80" s="144"/>
      <c r="L80" s="144"/>
      <c r="M80" s="144"/>
      <c r="N80" s="160"/>
    </row>
    <row r="81" spans="1:14">
      <c r="A81" s="64">
        <v>71</v>
      </c>
      <c r="B81" s="160">
        <f t="shared" si="5"/>
        <v>180</v>
      </c>
      <c r="C81" s="103">
        <f t="shared" si="6"/>
        <v>20.7045424758698</v>
      </c>
      <c r="D81" s="103">
        <f t="shared" si="7"/>
        <v>621.13627427609401</v>
      </c>
      <c r="E81" s="103">
        <v>0</v>
      </c>
      <c r="F81" s="103">
        <f t="shared" si="8"/>
        <v>159.9165937984063</v>
      </c>
      <c r="G81" s="103">
        <f t="shared" si="9"/>
        <v>159.9165937984063</v>
      </c>
      <c r="H81" s="144"/>
      <c r="I81" s="144"/>
      <c r="J81" s="144"/>
      <c r="K81" s="144"/>
      <c r="L81" s="144"/>
      <c r="M81" s="144"/>
      <c r="N81" s="160"/>
    </row>
    <row r="82" spans="1:14">
      <c r="A82" s="64">
        <v>72</v>
      </c>
      <c r="B82" s="160">
        <f t="shared" si="5"/>
        <v>180</v>
      </c>
      <c r="C82" s="103">
        <f t="shared" si="6"/>
        <v>20.083406201593704</v>
      </c>
      <c r="D82" s="103">
        <f t="shared" si="7"/>
        <v>602.50218604781116</v>
      </c>
      <c r="E82" s="103">
        <v>0</v>
      </c>
      <c r="F82" s="103">
        <f t="shared" si="8"/>
        <v>160.51909598445411</v>
      </c>
      <c r="G82" s="103">
        <f t="shared" si="9"/>
        <v>160.51909598445411</v>
      </c>
      <c r="H82" s="144"/>
      <c r="I82" s="144"/>
      <c r="J82" s="144"/>
      <c r="K82" s="144"/>
      <c r="L82" s="144"/>
      <c r="M82" s="144"/>
      <c r="N82" s="160"/>
    </row>
    <row r="83" spans="1:14">
      <c r="A83" s="64">
        <v>73</v>
      </c>
      <c r="B83" s="160">
        <f t="shared" si="5"/>
        <v>180</v>
      </c>
      <c r="C83" s="103">
        <f t="shared" si="6"/>
        <v>19.480904015545889</v>
      </c>
      <c r="D83" s="103">
        <f t="shared" si="7"/>
        <v>584.42712046637666</v>
      </c>
      <c r="E83" s="103">
        <v>0</v>
      </c>
      <c r="F83" s="103">
        <f t="shared" si="8"/>
        <v>161.1035231049205</v>
      </c>
      <c r="G83" s="103">
        <f t="shared" si="9"/>
        <v>161.1035231049205</v>
      </c>
      <c r="H83" s="144"/>
      <c r="I83" s="144"/>
      <c r="J83" s="144"/>
      <c r="K83" s="144"/>
      <c r="L83" s="144"/>
      <c r="M83" s="144"/>
      <c r="N83" s="160"/>
    </row>
    <row r="84" spans="1:14">
      <c r="A84" s="64">
        <v>74</v>
      </c>
      <c r="B84" s="160">
        <f t="shared" si="5"/>
        <v>180</v>
      </c>
      <c r="C84" s="103">
        <f t="shared" si="6"/>
        <v>18.896476895079502</v>
      </c>
      <c r="D84" s="103">
        <f t="shared" si="7"/>
        <v>566.89430685238506</v>
      </c>
      <c r="E84" s="103">
        <v>0</v>
      </c>
      <c r="F84" s="103">
        <f t="shared" si="8"/>
        <v>161.67041741177289</v>
      </c>
      <c r="G84" s="103">
        <f t="shared" si="9"/>
        <v>161.67041741177289</v>
      </c>
      <c r="H84" s="144"/>
      <c r="I84" s="144"/>
      <c r="J84" s="144"/>
      <c r="K84" s="144"/>
      <c r="L84" s="144"/>
      <c r="M84" s="144"/>
      <c r="N84" s="160"/>
    </row>
    <row r="85" spans="1:14">
      <c r="A85" s="64">
        <v>75</v>
      </c>
      <c r="B85" s="160">
        <f t="shared" si="5"/>
        <v>180</v>
      </c>
      <c r="C85" s="103">
        <f t="shared" si="6"/>
        <v>18.329582588227112</v>
      </c>
      <c r="D85" s="103">
        <f t="shared" si="7"/>
        <v>549.88747764681329</v>
      </c>
      <c r="E85" s="103">
        <v>0</v>
      </c>
      <c r="F85" s="103">
        <f t="shared" si="8"/>
        <v>162.22030488941971</v>
      </c>
      <c r="G85" s="103">
        <f t="shared" si="9"/>
        <v>162.22030488941971</v>
      </c>
      <c r="H85" s="144"/>
      <c r="I85" s="144"/>
      <c r="J85" s="144"/>
      <c r="K85" s="144"/>
      <c r="L85" s="144"/>
      <c r="M85" s="144"/>
      <c r="N85" s="160"/>
    </row>
    <row r="86" spans="1:14">
      <c r="A86" s="64">
        <v>76</v>
      </c>
      <c r="B86" s="160">
        <f t="shared" si="5"/>
        <v>180</v>
      </c>
      <c r="C86" s="103">
        <f t="shared" si="6"/>
        <v>17.779695110580292</v>
      </c>
      <c r="D86" s="103">
        <f t="shared" si="7"/>
        <v>533.39085331740876</v>
      </c>
      <c r="E86" s="103">
        <v>0</v>
      </c>
      <c r="F86" s="103">
        <f t="shared" si="8"/>
        <v>162.75369574273711</v>
      </c>
      <c r="G86" s="103">
        <f t="shared" si="9"/>
        <v>162.75369574273711</v>
      </c>
      <c r="H86" s="144"/>
      <c r="I86" s="144"/>
      <c r="J86" s="144"/>
      <c r="K86" s="144"/>
      <c r="L86" s="144"/>
      <c r="M86" s="144"/>
      <c r="N86" s="160"/>
    </row>
    <row r="87" spans="1:14">
      <c r="A87" s="64">
        <v>77</v>
      </c>
      <c r="B87" s="160">
        <f t="shared" si="5"/>
        <v>180</v>
      </c>
      <c r="C87" s="103">
        <f t="shared" si="6"/>
        <v>17.246304257262892</v>
      </c>
      <c r="D87" s="103">
        <f t="shared" si="7"/>
        <v>517.38912771788682</v>
      </c>
      <c r="E87" s="103">
        <v>0</v>
      </c>
      <c r="F87" s="103">
        <f t="shared" si="8"/>
        <v>163.27108487045498</v>
      </c>
      <c r="G87" s="103">
        <f t="shared" si="9"/>
        <v>163.27108487045498</v>
      </c>
      <c r="H87" s="144"/>
      <c r="I87" s="144"/>
      <c r="J87" s="144"/>
      <c r="K87" s="144"/>
      <c r="L87" s="144"/>
      <c r="M87" s="144"/>
      <c r="N87" s="160"/>
    </row>
    <row r="88" spans="1:14">
      <c r="A88" s="64">
        <v>78</v>
      </c>
      <c r="B88" s="160">
        <f t="shared" si="5"/>
        <v>180</v>
      </c>
      <c r="C88" s="103">
        <f t="shared" si="6"/>
        <v>16.728915129545015</v>
      </c>
      <c r="D88" s="103">
        <f t="shared" si="7"/>
        <v>501.86745388635046</v>
      </c>
      <c r="E88" s="103">
        <v>0</v>
      </c>
      <c r="F88" s="103">
        <f t="shared" si="8"/>
        <v>163.77295232434133</v>
      </c>
      <c r="G88" s="103">
        <f t="shared" si="9"/>
        <v>163.77295232434133</v>
      </c>
      <c r="H88" s="144"/>
      <c r="I88" s="144"/>
      <c r="J88" s="144"/>
      <c r="K88" s="144"/>
      <c r="L88" s="144"/>
      <c r="M88" s="144"/>
      <c r="N88" s="160"/>
    </row>
    <row r="89" spans="1:14">
      <c r="A89" s="64">
        <v>79</v>
      </c>
      <c r="B89" s="160">
        <f t="shared" si="5"/>
        <v>180</v>
      </c>
      <c r="C89" s="103">
        <f t="shared" si="6"/>
        <v>16.227047675658667</v>
      </c>
      <c r="D89" s="103">
        <f t="shared" si="7"/>
        <v>486.81143026976002</v>
      </c>
      <c r="E89" s="103">
        <v>0</v>
      </c>
      <c r="F89" s="103">
        <f t="shared" si="8"/>
        <v>164.2597637546111</v>
      </c>
      <c r="G89" s="103">
        <f t="shared" si="9"/>
        <v>164.2597637546111</v>
      </c>
      <c r="H89" s="144"/>
      <c r="I89" s="144"/>
      <c r="J89" s="144"/>
      <c r="K89" s="144"/>
      <c r="L89" s="144"/>
      <c r="M89" s="144"/>
      <c r="N89" s="160"/>
    </row>
    <row r="90" spans="1:14">
      <c r="A90" s="64">
        <v>80</v>
      </c>
      <c r="B90" s="160">
        <f t="shared" si="5"/>
        <v>180</v>
      </c>
      <c r="C90" s="103">
        <f t="shared" si="6"/>
        <v>15.7402362453889</v>
      </c>
      <c r="D90" s="103">
        <f t="shared" si="7"/>
        <v>472.20708736166699</v>
      </c>
      <c r="E90" s="103">
        <v>0</v>
      </c>
      <c r="F90" s="103">
        <f t="shared" si="8"/>
        <v>164.73197084197275</v>
      </c>
      <c r="G90" s="103">
        <f t="shared" si="9"/>
        <v>164.73197084197275</v>
      </c>
      <c r="H90" s="144"/>
      <c r="I90" s="144"/>
      <c r="J90" s="144"/>
      <c r="K90" s="144"/>
      <c r="L90" s="144"/>
      <c r="M90" s="144"/>
      <c r="N90" s="160"/>
    </row>
    <row r="91" spans="1:14">
      <c r="A91" s="64">
        <v>81</v>
      </c>
      <c r="B91" s="160">
        <f t="shared" si="5"/>
        <v>180</v>
      </c>
      <c r="C91" s="103">
        <f t="shared" si="6"/>
        <v>15.268029158027247</v>
      </c>
      <c r="D91" s="103">
        <f t="shared" si="7"/>
        <v>458.0408747408174</v>
      </c>
      <c r="E91" s="103">
        <v>0</v>
      </c>
      <c r="F91" s="103">
        <f t="shared" si="8"/>
        <v>165.19001171671357</v>
      </c>
      <c r="G91" s="103">
        <f t="shared" si="9"/>
        <v>165.19001171671357</v>
      </c>
      <c r="H91" s="144"/>
      <c r="I91" s="144"/>
      <c r="J91" s="144"/>
      <c r="K91" s="144"/>
      <c r="L91" s="144"/>
      <c r="M91" s="144"/>
      <c r="N91" s="160"/>
    </row>
    <row r="92" spans="1:14">
      <c r="A92" s="64">
        <v>82</v>
      </c>
      <c r="B92" s="160">
        <f t="shared" si="5"/>
        <v>180</v>
      </c>
      <c r="C92" s="103">
        <f t="shared" si="6"/>
        <v>14.80998828328643</v>
      </c>
      <c r="D92" s="103">
        <f t="shared" si="7"/>
        <v>444.29964849859289</v>
      </c>
      <c r="E92" s="103">
        <v>0</v>
      </c>
      <c r="F92" s="103">
        <f t="shared" si="8"/>
        <v>165.63431136521217</v>
      </c>
      <c r="G92" s="103">
        <f t="shared" si="9"/>
        <v>165.63431136521217</v>
      </c>
      <c r="H92" s="144"/>
      <c r="I92" s="144"/>
      <c r="J92" s="144"/>
      <c r="K92" s="144"/>
      <c r="L92" s="144"/>
      <c r="M92" s="144"/>
      <c r="N92" s="160"/>
    </row>
    <row r="93" spans="1:14">
      <c r="A93" s="64">
        <v>83</v>
      </c>
      <c r="B93" s="160">
        <f t="shared" si="5"/>
        <v>180</v>
      </c>
      <c r="C93" s="103">
        <f t="shared" si="6"/>
        <v>14.36568863478783</v>
      </c>
      <c r="D93" s="103">
        <f t="shared" si="7"/>
        <v>430.9706590436349</v>
      </c>
      <c r="E93" s="103">
        <v>0</v>
      </c>
      <c r="F93" s="103">
        <f t="shared" si="8"/>
        <v>166.06528202425579</v>
      </c>
      <c r="G93" s="103">
        <f t="shared" si="9"/>
        <v>166.06528202425579</v>
      </c>
      <c r="H93" s="144"/>
      <c r="I93" s="144"/>
      <c r="J93" s="144"/>
      <c r="K93" s="144"/>
      <c r="L93" s="144"/>
      <c r="M93" s="144"/>
      <c r="N93" s="160"/>
    </row>
    <row r="94" spans="1:14">
      <c r="A94" s="64">
        <v>84</v>
      </c>
      <c r="B94" s="160">
        <f t="shared" si="5"/>
        <v>180</v>
      </c>
      <c r="C94" s="103">
        <f t="shared" si="6"/>
        <v>13.934717975744206</v>
      </c>
      <c r="D94" s="103">
        <f t="shared" si="7"/>
        <v>418.04153927232619</v>
      </c>
      <c r="E94" s="103">
        <v>0</v>
      </c>
      <c r="F94" s="103">
        <f t="shared" si="8"/>
        <v>166.48332356352813</v>
      </c>
      <c r="G94" s="103">
        <f t="shared" si="9"/>
        <v>166.48332356352813</v>
      </c>
      <c r="H94" s="144"/>
      <c r="I94" s="144"/>
      <c r="J94" s="144"/>
      <c r="K94" s="144"/>
      <c r="L94" s="144"/>
      <c r="M94" s="144"/>
      <c r="N94" s="160"/>
    </row>
    <row r="95" spans="1:14">
      <c r="A95" s="64">
        <v>85</v>
      </c>
      <c r="B95" s="160">
        <f t="shared" si="5"/>
        <v>180</v>
      </c>
      <c r="C95" s="103">
        <f t="shared" si="6"/>
        <v>13.516676436471869</v>
      </c>
      <c r="D95" s="103">
        <f t="shared" si="7"/>
        <v>405.50029309415606</v>
      </c>
      <c r="E95" s="103">
        <v>0</v>
      </c>
      <c r="F95" s="103">
        <f t="shared" si="8"/>
        <v>166.88882385662228</v>
      </c>
      <c r="G95" s="103">
        <f t="shared" si="9"/>
        <v>166.88882385662228</v>
      </c>
      <c r="H95" s="144"/>
      <c r="I95" s="144"/>
      <c r="J95" s="144"/>
      <c r="K95" s="144"/>
      <c r="L95" s="144"/>
      <c r="M95" s="144"/>
      <c r="N95" s="160"/>
    </row>
    <row r="96" spans="1:14">
      <c r="A96" s="64">
        <v>86</v>
      </c>
      <c r="B96" s="160">
        <f t="shared" si="5"/>
        <v>180</v>
      </c>
      <c r="C96" s="103">
        <f t="shared" si="6"/>
        <v>13.111176143377719</v>
      </c>
      <c r="D96" s="103">
        <f t="shared" si="7"/>
        <v>393.33528430133157</v>
      </c>
      <c r="E96" s="103">
        <v>0</v>
      </c>
      <c r="F96" s="103">
        <f t="shared" si="8"/>
        <v>167.28215914092362</v>
      </c>
      <c r="G96" s="103">
        <f t="shared" si="9"/>
        <v>167.28215914092362</v>
      </c>
      <c r="H96" s="144"/>
      <c r="I96" s="144"/>
      <c r="J96" s="144"/>
      <c r="K96" s="144"/>
      <c r="L96" s="144"/>
      <c r="M96" s="144"/>
      <c r="N96" s="160"/>
    </row>
    <row r="97" spans="1:14">
      <c r="A97" s="64">
        <v>87</v>
      </c>
      <c r="B97" s="160">
        <f t="shared" si="5"/>
        <v>180</v>
      </c>
      <c r="C97" s="103">
        <f t="shared" si="6"/>
        <v>12.717840859076375</v>
      </c>
      <c r="D97" s="103">
        <f t="shared" si="7"/>
        <v>381.53522577229126</v>
      </c>
      <c r="E97" s="103">
        <v>0</v>
      </c>
      <c r="F97" s="103">
        <f t="shared" si="8"/>
        <v>167.66369436669592</v>
      </c>
      <c r="G97" s="103">
        <f t="shared" si="9"/>
        <v>167.66369436669592</v>
      </c>
      <c r="H97" s="144"/>
      <c r="I97" s="144"/>
      <c r="J97" s="144"/>
      <c r="K97" s="144"/>
      <c r="L97" s="144"/>
      <c r="M97" s="144"/>
      <c r="N97" s="160"/>
    </row>
    <row r="98" spans="1:14">
      <c r="A98" s="64">
        <v>88</v>
      </c>
      <c r="B98" s="160">
        <f t="shared" si="5"/>
        <v>180</v>
      </c>
      <c r="C98" s="103">
        <f t="shared" si="6"/>
        <v>12.336305633304079</v>
      </c>
      <c r="D98" s="103">
        <f t="shared" si="7"/>
        <v>370.08916899912236</v>
      </c>
      <c r="E98" s="103">
        <v>0</v>
      </c>
      <c r="F98" s="103">
        <f t="shared" si="8"/>
        <v>168.03378353569505</v>
      </c>
      <c r="G98" s="103">
        <f t="shared" si="9"/>
        <v>168.03378353569505</v>
      </c>
      <c r="H98" s="144"/>
      <c r="I98" s="144"/>
      <c r="J98" s="144"/>
      <c r="K98" s="144"/>
      <c r="L98" s="144"/>
      <c r="M98" s="144"/>
      <c r="N98" s="160"/>
    </row>
    <row r="99" spans="1:14">
      <c r="A99" s="64">
        <v>89</v>
      </c>
      <c r="B99" s="160">
        <f t="shared" si="5"/>
        <v>180</v>
      </c>
      <c r="C99" s="103">
        <f t="shared" si="6"/>
        <v>11.966216464304949</v>
      </c>
      <c r="D99" s="103">
        <f t="shared" si="7"/>
        <v>358.98649392914848</v>
      </c>
      <c r="E99" s="103">
        <v>0</v>
      </c>
      <c r="F99" s="103">
        <f t="shared" si="8"/>
        <v>168.39277002962419</v>
      </c>
      <c r="G99" s="103">
        <f t="shared" si="9"/>
        <v>168.39277002962419</v>
      </c>
      <c r="H99" s="144"/>
      <c r="I99" s="144"/>
      <c r="J99" s="144"/>
      <c r="K99" s="144"/>
      <c r="L99" s="144"/>
      <c r="M99" s="144"/>
      <c r="N99" s="160"/>
    </row>
    <row r="100" spans="1:14">
      <c r="A100" s="64">
        <v>90</v>
      </c>
      <c r="B100" s="160">
        <f t="shared" si="5"/>
        <v>180</v>
      </c>
      <c r="C100" s="103">
        <f t="shared" si="6"/>
        <v>11.607229970375812</v>
      </c>
      <c r="D100" s="103">
        <f t="shared" si="7"/>
        <v>348.21689911127436</v>
      </c>
      <c r="E100" s="103">
        <v>0</v>
      </c>
      <c r="F100" s="103">
        <f t="shared" si="8"/>
        <v>168.74098692873545</v>
      </c>
      <c r="G100" s="103">
        <f t="shared" si="9"/>
        <v>168.74098692873545</v>
      </c>
      <c r="H100" s="144"/>
      <c r="I100" s="144"/>
      <c r="J100" s="144"/>
      <c r="K100" s="144"/>
      <c r="L100" s="144"/>
      <c r="M100" s="144"/>
      <c r="N100" s="160"/>
    </row>
    <row r="101" spans="1:14">
      <c r="A101" s="64">
        <v>91</v>
      </c>
      <c r="B101" s="160">
        <f t="shared" si="5"/>
        <v>180</v>
      </c>
      <c r="C101" s="103">
        <f t="shared" si="6"/>
        <v>11.259013071264548</v>
      </c>
      <c r="D101" s="103">
        <f t="shared" si="7"/>
        <v>337.77039213793643</v>
      </c>
      <c r="E101" s="103">
        <v>0</v>
      </c>
      <c r="F101" s="103">
        <f t="shared" si="8"/>
        <v>169.07875732087339</v>
      </c>
      <c r="G101" s="103">
        <f t="shared" si="9"/>
        <v>169.07875732087339</v>
      </c>
      <c r="H101" s="144"/>
      <c r="I101" s="144"/>
      <c r="J101" s="144"/>
      <c r="K101" s="144"/>
      <c r="L101" s="144"/>
      <c r="M101" s="144"/>
      <c r="N101" s="160"/>
    </row>
    <row r="102" spans="1:14">
      <c r="A102" s="64">
        <v>92</v>
      </c>
      <c r="B102" s="160">
        <f t="shared" si="5"/>
        <v>180</v>
      </c>
      <c r="C102" s="103">
        <f t="shared" si="6"/>
        <v>10.921242679126607</v>
      </c>
      <c r="D102" s="103">
        <f t="shared" si="7"/>
        <v>327.63728037379821</v>
      </c>
      <c r="E102" s="103">
        <v>0</v>
      </c>
      <c r="F102" s="103">
        <f t="shared" si="8"/>
        <v>169.4063946012472</v>
      </c>
      <c r="G102" s="103">
        <f t="shared" si="9"/>
        <v>169.4063946012472</v>
      </c>
      <c r="H102" s="144"/>
      <c r="I102" s="144"/>
      <c r="J102" s="144"/>
      <c r="K102" s="144"/>
      <c r="L102" s="144"/>
      <c r="M102" s="144"/>
      <c r="N102" s="160"/>
    </row>
    <row r="103" spans="1:14">
      <c r="A103" s="64">
        <v>93</v>
      </c>
      <c r="B103" s="160">
        <f t="shared" si="5"/>
        <v>180</v>
      </c>
      <c r="C103" s="103">
        <f t="shared" si="6"/>
        <v>10.5936053987528</v>
      </c>
      <c r="D103" s="103">
        <f t="shared" si="7"/>
        <v>317.80816196258399</v>
      </c>
      <c r="E103" s="103">
        <v>0</v>
      </c>
      <c r="F103" s="103">
        <f t="shared" si="8"/>
        <v>169.72420276320977</v>
      </c>
      <c r="G103" s="103">
        <f t="shared" si="9"/>
        <v>169.72420276320977</v>
      </c>
      <c r="H103" s="144"/>
      <c r="I103" s="144"/>
      <c r="J103" s="144"/>
      <c r="K103" s="144"/>
      <c r="L103" s="144"/>
      <c r="M103" s="144"/>
      <c r="N103" s="160"/>
    </row>
    <row r="104" spans="1:14">
      <c r="A104" s="64">
        <v>94</v>
      </c>
      <c r="B104" s="160">
        <f t="shared" si="5"/>
        <v>180</v>
      </c>
      <c r="C104" s="103">
        <f t="shared" si="6"/>
        <v>10.275797236790225</v>
      </c>
      <c r="D104" s="103">
        <f t="shared" si="7"/>
        <v>308.27391710370676</v>
      </c>
      <c r="E104" s="103">
        <v>0</v>
      </c>
      <c r="F104" s="103">
        <f t="shared" si="8"/>
        <v>170.03247668031349</v>
      </c>
      <c r="G104" s="103">
        <f t="shared" si="9"/>
        <v>170.03247668031349</v>
      </c>
      <c r="H104" s="144"/>
      <c r="I104" s="144"/>
      <c r="J104" s="144"/>
      <c r="K104" s="144"/>
      <c r="L104" s="144"/>
      <c r="M104" s="144"/>
      <c r="N104" s="160"/>
    </row>
    <row r="105" spans="1:14">
      <c r="A105" s="64">
        <v>95</v>
      </c>
      <c r="B105" s="160">
        <f t="shared" si="5"/>
        <v>180</v>
      </c>
      <c r="C105" s="103">
        <f t="shared" si="6"/>
        <v>9.9675233196865065</v>
      </c>
      <c r="D105" s="103">
        <f t="shared" si="7"/>
        <v>299.0256995905952</v>
      </c>
      <c r="E105" s="103">
        <v>0</v>
      </c>
      <c r="F105" s="103">
        <f t="shared" si="8"/>
        <v>170.33150237990409</v>
      </c>
      <c r="G105" s="103">
        <f t="shared" si="9"/>
        <v>170.33150237990409</v>
      </c>
      <c r="H105" s="144"/>
      <c r="I105" s="144"/>
      <c r="J105" s="144"/>
      <c r="K105" s="144"/>
      <c r="L105" s="144"/>
      <c r="M105" s="144"/>
      <c r="N105" s="160"/>
    </row>
    <row r="106" spans="1:14">
      <c r="A106" s="64">
        <v>96</v>
      </c>
      <c r="B106" s="160">
        <f t="shared" si="5"/>
        <v>180</v>
      </c>
      <c r="C106" s="103">
        <f t="shared" si="6"/>
        <v>9.6684976200959056</v>
      </c>
      <c r="D106" s="103">
        <f t="shared" si="7"/>
        <v>290.05492860287717</v>
      </c>
      <c r="E106" s="103">
        <v>0</v>
      </c>
      <c r="F106" s="103">
        <f t="shared" si="8"/>
        <v>170.62155730850697</v>
      </c>
      <c r="G106" s="103">
        <f t="shared" si="9"/>
        <v>170.62155730850697</v>
      </c>
      <c r="H106" s="144"/>
      <c r="I106" s="144"/>
      <c r="J106" s="144"/>
      <c r="K106" s="144"/>
      <c r="L106" s="144"/>
      <c r="M106" s="144"/>
      <c r="N106" s="160"/>
    </row>
    <row r="107" spans="1:14">
      <c r="A107" s="64">
        <v>97</v>
      </c>
      <c r="B107" s="160">
        <f t="shared" si="5"/>
        <v>180</v>
      </c>
      <c r="C107" s="103">
        <f t="shared" si="6"/>
        <v>9.378442691493035</v>
      </c>
      <c r="D107" s="103">
        <f t="shared" si="7"/>
        <v>281.35328074479105</v>
      </c>
      <c r="E107" s="103">
        <v>0</v>
      </c>
      <c r="F107" s="103">
        <f t="shared" si="8"/>
        <v>170.90291058925175</v>
      </c>
      <c r="G107" s="103">
        <f t="shared" si="9"/>
        <v>170.90291058925175</v>
      </c>
      <c r="H107" s="144"/>
      <c r="I107" s="144"/>
      <c r="J107" s="144"/>
      <c r="K107" s="144"/>
      <c r="L107" s="144"/>
      <c r="M107" s="144"/>
      <c r="N107" s="160"/>
    </row>
    <row r="108" spans="1:14">
      <c r="A108" s="64">
        <v>98</v>
      </c>
      <c r="B108" s="160">
        <f t="shared" si="5"/>
        <v>180</v>
      </c>
      <c r="C108" s="103">
        <f t="shared" si="6"/>
        <v>9.0970894107482536</v>
      </c>
      <c r="D108" s="103">
        <f t="shared" si="7"/>
        <v>272.91268232244761</v>
      </c>
      <c r="E108" s="103">
        <v>0</v>
      </c>
      <c r="F108" s="103">
        <f t="shared" si="8"/>
        <v>171.17582327157419</v>
      </c>
      <c r="G108" s="103">
        <f t="shared" si="9"/>
        <v>171.17582327157419</v>
      </c>
      <c r="H108" s="144"/>
      <c r="I108" s="144"/>
      <c r="J108" s="144"/>
      <c r="K108" s="144"/>
      <c r="L108" s="144"/>
      <c r="M108" s="144"/>
      <c r="N108" s="160"/>
    </row>
    <row r="109" spans="1:14">
      <c r="A109" s="64">
        <v>99</v>
      </c>
      <c r="B109" s="160">
        <f t="shared" si="5"/>
        <v>180</v>
      </c>
      <c r="C109" s="103">
        <f t="shared" si="6"/>
        <v>8.8241767284258117</v>
      </c>
      <c r="D109" s="103">
        <f t="shared" si="7"/>
        <v>264.72530185277435</v>
      </c>
      <c r="E109" s="103">
        <v>0</v>
      </c>
      <c r="F109" s="103">
        <f t="shared" si="8"/>
        <v>171.44054857342695</v>
      </c>
      <c r="G109" s="103">
        <f t="shared" si="9"/>
        <v>171.44054857342695</v>
      </c>
      <c r="H109" s="144"/>
      <c r="I109" s="144"/>
      <c r="J109" s="144"/>
      <c r="K109" s="144"/>
      <c r="L109" s="144"/>
      <c r="M109" s="144"/>
      <c r="N109" s="160"/>
    </row>
    <row r="110" spans="1:14">
      <c r="A110" s="64">
        <v>100</v>
      </c>
      <c r="B110" s="160">
        <f t="shared" si="5"/>
        <v>180</v>
      </c>
      <c r="C110" s="103">
        <f t="shared" si="6"/>
        <v>8.5594514265730481</v>
      </c>
      <c r="D110" s="103">
        <f t="shared" si="7"/>
        <v>256.78354279719144</v>
      </c>
      <c r="E110" s="103">
        <f>-0.25*$C$2*(1-COS(2*PI()*A10*$C$4*$C$6))</f>
        <v>0</v>
      </c>
      <c r="F110" s="103">
        <f t="shared" si="8"/>
        <v>171.69733211622415</v>
      </c>
      <c r="G110" s="103">
        <f t="shared" si="9"/>
        <v>171.69733211622415</v>
      </c>
      <c r="H110" s="144"/>
      <c r="I110" s="144"/>
      <c r="J110" s="144"/>
      <c r="K110" s="144"/>
      <c r="L110" s="144"/>
      <c r="M110" s="144"/>
      <c r="N110" s="160"/>
    </row>
    <row r="111" spans="1:14">
      <c r="A111" s="64">
        <v>101</v>
      </c>
      <c r="B111" s="160">
        <f t="shared" si="5"/>
        <v>180</v>
      </c>
      <c r="C111" s="103">
        <f t="shared" si="6"/>
        <v>8.3026678837758539</v>
      </c>
      <c r="D111" s="103">
        <f t="shared" si="7"/>
        <v>249.08003651327562</v>
      </c>
      <c r="E111" s="103">
        <f>0.25*$C$2*(1-COS(2*PI()*A11*$C$4*$C$6))</f>
        <v>12.31165940486223</v>
      </c>
      <c r="F111" s="103">
        <f t="shared" si="8"/>
        <v>171.93410049333255</v>
      </c>
      <c r="G111" s="103">
        <f t="shared" si="9"/>
        <v>171.93410049333255</v>
      </c>
      <c r="H111" s="144"/>
      <c r="I111" s="144"/>
      <c r="J111" s="144"/>
      <c r="K111" s="144"/>
      <c r="L111" s="144"/>
      <c r="M111" s="144"/>
      <c r="N111" s="160"/>
    </row>
    <row r="112" spans="1:14">
      <c r="A112" s="64">
        <v>102</v>
      </c>
      <c r="B112" s="160">
        <f t="shared" si="5"/>
        <v>180</v>
      </c>
      <c r="C112" s="103">
        <f t="shared" si="6"/>
        <v>8.0658995066674493</v>
      </c>
      <c r="D112" s="103">
        <f t="shared" si="7"/>
        <v>241.97698520002348</v>
      </c>
      <c r="E112" s="103">
        <f t="shared" ref="E112:E150" si="10">0.25*$C$2*(1-COS(2*PI()*A12*$C$4*$C$6))</f>
        <v>48.943483704846471</v>
      </c>
      <c r="F112" s="103">
        <f t="shared" si="8"/>
        <v>172.12713399482772</v>
      </c>
      <c r="G112" s="103">
        <f t="shared" si="9"/>
        <v>172.12713399482772</v>
      </c>
      <c r="H112" s="144"/>
      <c r="I112" s="144"/>
      <c r="J112" s="144"/>
      <c r="K112" s="144"/>
      <c r="L112" s="144"/>
      <c r="M112" s="144"/>
      <c r="N112" s="160"/>
    </row>
    <row r="113" spans="1:14">
      <c r="A113" s="64">
        <v>103</v>
      </c>
      <c r="B113" s="160">
        <f t="shared" si="5"/>
        <v>180</v>
      </c>
      <c r="C113" s="103">
        <f t="shared" si="6"/>
        <v>7.8728660051722841</v>
      </c>
      <c r="D113" s="103">
        <f t="shared" si="7"/>
        <v>236.18598015516852</v>
      </c>
      <c r="E113" s="103">
        <f t="shared" si="10"/>
        <v>108.99347581163209</v>
      </c>
      <c r="F113" s="103">
        <f t="shared" si="8"/>
        <v>172.25432649917124</v>
      </c>
      <c r="G113" s="103">
        <f t="shared" si="9"/>
        <v>172.25432649917124</v>
      </c>
      <c r="H113" s="144"/>
      <c r="I113" s="144"/>
      <c r="J113" s="144"/>
      <c r="K113" s="144"/>
      <c r="L113" s="144"/>
      <c r="M113" s="144"/>
      <c r="N113" s="160"/>
    </row>
    <row r="114" spans="1:14">
      <c r="A114" s="64">
        <v>104</v>
      </c>
      <c r="B114" s="160">
        <f t="shared" si="5"/>
        <v>180</v>
      </c>
      <c r="C114" s="103">
        <f t="shared" si="6"/>
        <v>7.7456735008287581</v>
      </c>
      <c r="D114" s="103">
        <f t="shared" si="7"/>
        <v>232.37020502486274</v>
      </c>
      <c r="E114" s="103">
        <f t="shared" si="10"/>
        <v>190.98300562505256</v>
      </c>
      <c r="F114" s="103">
        <f t="shared" si="8"/>
        <v>172.29571369857106</v>
      </c>
      <c r="G114" s="103">
        <f t="shared" si="9"/>
        <v>172.29571369857106</v>
      </c>
      <c r="H114" s="144"/>
      <c r="I114" s="144"/>
      <c r="J114" s="144"/>
      <c r="K114" s="144"/>
      <c r="L114" s="144"/>
      <c r="M114" s="144"/>
      <c r="N114" s="160"/>
    </row>
    <row r="115" spans="1:14">
      <c r="A115" s="64">
        <v>105</v>
      </c>
      <c r="B115" s="160">
        <f t="shared" si="5"/>
        <v>180</v>
      </c>
      <c r="C115" s="103">
        <f t="shared" si="6"/>
        <v>7.7042863014289367</v>
      </c>
      <c r="D115" s="103">
        <f t="shared" si="7"/>
        <v>231.1285890428681</v>
      </c>
      <c r="E115" s="103">
        <f t="shared" si="10"/>
        <v>292.89321881345245</v>
      </c>
      <c r="F115" s="103">
        <f t="shared" si="8"/>
        <v>172.23394906880048</v>
      </c>
      <c r="G115" s="103">
        <f t="shared" si="9"/>
        <v>172.23394906880048</v>
      </c>
      <c r="H115" s="144"/>
      <c r="I115" s="144"/>
      <c r="J115" s="144"/>
      <c r="K115" s="144"/>
      <c r="L115" s="144"/>
      <c r="M115" s="144"/>
      <c r="N115" s="160"/>
    </row>
    <row r="116" spans="1:14">
      <c r="A116" s="64">
        <v>106</v>
      </c>
      <c r="B116" s="160">
        <f t="shared" si="5"/>
        <v>180</v>
      </c>
      <c r="C116" s="103">
        <f t="shared" si="6"/>
        <v>7.7660509311995156</v>
      </c>
      <c r="D116" s="103">
        <f t="shared" si="7"/>
        <v>232.98152793598547</v>
      </c>
      <c r="E116" s="103">
        <f t="shared" si="10"/>
        <v>412.21474770752684</v>
      </c>
      <c r="F116" s="103">
        <f t="shared" si="8"/>
        <v>172.05471584902895</v>
      </c>
      <c r="G116" s="103">
        <f t="shared" si="9"/>
        <v>172.05471584902895</v>
      </c>
      <c r="H116" s="144"/>
      <c r="I116" s="144"/>
      <c r="J116" s="144"/>
      <c r="K116" s="144"/>
      <c r="L116" s="144"/>
      <c r="M116" s="144"/>
      <c r="N116" s="160"/>
    </row>
    <row r="117" spans="1:14">
      <c r="A117" s="64">
        <v>107</v>
      </c>
      <c r="B117" s="160">
        <f t="shared" si="5"/>
        <v>180</v>
      </c>
      <c r="C117" s="103">
        <f t="shared" si="6"/>
        <v>7.9452841509710481</v>
      </c>
      <c r="D117" s="103">
        <f t="shared" si="7"/>
        <v>238.35852452913144</v>
      </c>
      <c r="E117" s="103">
        <f t="shared" si="10"/>
        <v>546.00950026045325</v>
      </c>
      <c r="F117" s="103">
        <f t="shared" si="8"/>
        <v>171.74706487329763</v>
      </c>
      <c r="G117" s="103">
        <f t="shared" si="9"/>
        <v>171.74706487329763</v>
      </c>
      <c r="H117" s="144"/>
      <c r="I117" s="144"/>
      <c r="J117" s="144"/>
      <c r="K117" s="144"/>
      <c r="L117" s="144"/>
      <c r="M117" s="144"/>
      <c r="N117" s="160"/>
    </row>
    <row r="118" spans="1:14">
      <c r="A118" s="64">
        <v>108</v>
      </c>
      <c r="B118" s="160">
        <f t="shared" si="5"/>
        <v>180</v>
      </c>
      <c r="C118" s="103">
        <f t="shared" si="6"/>
        <v>8.2529351267023685</v>
      </c>
      <c r="D118" s="103">
        <f t="shared" si="7"/>
        <v>247.58805380107106</v>
      </c>
      <c r="E118" s="103">
        <f t="shared" si="10"/>
        <v>690.98300562505256</v>
      </c>
      <c r="F118" s="103">
        <f t="shared" si="8"/>
        <v>171.30366992147364</v>
      </c>
      <c r="G118" s="103">
        <f t="shared" si="9"/>
        <v>171.30366992147364</v>
      </c>
      <c r="H118" s="144"/>
      <c r="I118" s="144"/>
      <c r="J118" s="144"/>
      <c r="K118" s="144"/>
      <c r="L118" s="144"/>
      <c r="M118" s="144"/>
      <c r="N118" s="160"/>
    </row>
    <row r="119" spans="1:14">
      <c r="A119" s="64">
        <v>109</v>
      </c>
      <c r="B119" s="160">
        <f t="shared" si="5"/>
        <v>180</v>
      </c>
      <c r="C119" s="103">
        <f t="shared" si="6"/>
        <v>8.6963300785263584</v>
      </c>
      <c r="D119" s="103">
        <f t="shared" si="7"/>
        <v>260.88990235579075</v>
      </c>
      <c r="E119" s="103">
        <f t="shared" si="10"/>
        <v>843.56553495976902</v>
      </c>
      <c r="F119" s="103">
        <f t="shared" si="8"/>
        <v>170.72099428886966</v>
      </c>
      <c r="G119" s="103">
        <f t="shared" si="9"/>
        <v>170.72099428886966</v>
      </c>
      <c r="H119" s="144"/>
      <c r="I119" s="144"/>
      <c r="J119" s="144"/>
      <c r="K119" s="144"/>
      <c r="L119" s="144"/>
      <c r="M119" s="144"/>
      <c r="N119" s="160"/>
    </row>
    <row r="120" spans="1:14">
      <c r="A120" s="64">
        <v>110</v>
      </c>
      <c r="B120" s="160">
        <f t="shared" si="5"/>
        <v>180</v>
      </c>
      <c r="C120" s="103">
        <f t="shared" si="6"/>
        <v>9.2790057111303383</v>
      </c>
      <c r="D120" s="103">
        <f t="shared" si="7"/>
        <v>278.37017133391015</v>
      </c>
      <c r="E120" s="103">
        <f t="shared" si="10"/>
        <v>999.99999999999989</v>
      </c>
      <c r="F120" s="103">
        <f t="shared" si="8"/>
        <v>169.99936446020357</v>
      </c>
      <c r="G120" s="103">
        <f t="shared" si="9"/>
        <v>169.99936446020357</v>
      </c>
      <c r="H120" s="144"/>
      <c r="I120" s="144"/>
      <c r="J120" s="144"/>
      <c r="K120" s="144"/>
      <c r="L120" s="144"/>
      <c r="M120" s="144"/>
      <c r="N120" s="160"/>
    </row>
    <row r="121" spans="1:14">
      <c r="A121" s="64">
        <v>111</v>
      </c>
      <c r="B121" s="160">
        <f t="shared" si="5"/>
        <v>180</v>
      </c>
      <c r="C121" s="103">
        <f t="shared" si="6"/>
        <v>10.000635539796434</v>
      </c>
      <c r="D121" s="103">
        <f t="shared" si="7"/>
        <v>300.01906619389302</v>
      </c>
      <c r="E121" s="103">
        <f t="shared" si="10"/>
        <v>1156.4344650402306</v>
      </c>
      <c r="F121" s="103">
        <f t="shared" si="8"/>
        <v>169.14294906135723</v>
      </c>
      <c r="G121" s="103">
        <f t="shared" si="9"/>
        <v>169.14294906135723</v>
      </c>
      <c r="H121" s="144"/>
      <c r="I121" s="144"/>
      <c r="J121" s="144"/>
      <c r="K121" s="144"/>
      <c r="L121" s="144"/>
      <c r="M121" s="144"/>
      <c r="N121" s="160"/>
    </row>
    <row r="122" spans="1:14">
      <c r="A122" s="64">
        <v>112</v>
      </c>
      <c r="B122" s="160">
        <f t="shared" si="5"/>
        <v>180</v>
      </c>
      <c r="C122" s="103">
        <f t="shared" si="6"/>
        <v>10.857050938642772</v>
      </c>
      <c r="D122" s="103">
        <f t="shared" si="7"/>
        <v>325.71152815928315</v>
      </c>
      <c r="E122" s="103">
        <f t="shared" si="10"/>
        <v>1309.0169943749474</v>
      </c>
      <c r="F122" s="103">
        <f t="shared" si="8"/>
        <v>168.15964359514157</v>
      </c>
      <c r="G122" s="103">
        <f t="shared" si="9"/>
        <v>168.15964359514157</v>
      </c>
      <c r="H122" s="144"/>
      <c r="I122" s="144"/>
      <c r="J122" s="144"/>
      <c r="K122" s="144"/>
      <c r="L122" s="144"/>
      <c r="M122" s="144"/>
      <c r="N122" s="160"/>
    </row>
    <row r="123" spans="1:14">
      <c r="A123" s="64">
        <v>113</v>
      </c>
      <c r="B123" s="160">
        <f t="shared" si="5"/>
        <v>180</v>
      </c>
      <c r="C123" s="103">
        <f t="shared" si="6"/>
        <v>11.840356404858426</v>
      </c>
      <c r="D123" s="103">
        <f t="shared" si="7"/>
        <v>355.21069214575277</v>
      </c>
      <c r="E123" s="103">
        <f t="shared" si="10"/>
        <v>1453.9904997395472</v>
      </c>
      <c r="F123" s="103">
        <f t="shared" si="8"/>
        <v>167.06086378754779</v>
      </c>
      <c r="G123" s="103">
        <f t="shared" si="9"/>
        <v>167.06086378754779</v>
      </c>
      <c r="H123" s="144"/>
      <c r="I123" s="144"/>
      <c r="J123" s="144"/>
      <c r="K123" s="144"/>
      <c r="L123" s="144"/>
      <c r="M123" s="144"/>
      <c r="N123" s="160"/>
    </row>
    <row r="124" spans="1:14">
      <c r="A124" s="64">
        <v>114</v>
      </c>
      <c r="B124" s="160">
        <f t="shared" si="5"/>
        <v>180</v>
      </c>
      <c r="C124" s="103">
        <f t="shared" si="6"/>
        <v>12.939136212452212</v>
      </c>
      <c r="D124" s="103">
        <f t="shared" si="7"/>
        <v>388.17408637356635</v>
      </c>
      <c r="E124" s="103">
        <f t="shared" si="10"/>
        <v>1587.7852522924729</v>
      </c>
      <c r="F124" s="103">
        <f t="shared" si="8"/>
        <v>165.86125262162889</v>
      </c>
      <c r="G124" s="103">
        <f t="shared" si="9"/>
        <v>165.86125262162889</v>
      </c>
      <c r="H124" s="144"/>
      <c r="I124" s="144"/>
      <c r="J124" s="144"/>
      <c r="K124" s="144"/>
      <c r="L124" s="144"/>
      <c r="M124" s="144"/>
      <c r="N124" s="160"/>
    </row>
    <row r="125" spans="1:14">
      <c r="A125" s="64">
        <v>115</v>
      </c>
      <c r="B125" s="160">
        <f t="shared" si="5"/>
        <v>180</v>
      </c>
      <c r="C125" s="103">
        <f t="shared" si="6"/>
        <v>14.138747378371107</v>
      </c>
      <c r="D125" s="103">
        <f t="shared" si="7"/>
        <v>424.16242135113322</v>
      </c>
      <c r="E125" s="103">
        <f t="shared" si="10"/>
        <v>1707.1067811865476</v>
      </c>
      <c r="F125" s="103">
        <f t="shared" si="8"/>
        <v>164.57830826179347</v>
      </c>
      <c r="G125" s="103">
        <f t="shared" si="9"/>
        <v>164.57830826179347</v>
      </c>
      <c r="H125" s="144"/>
      <c r="I125" s="144"/>
      <c r="J125" s="144"/>
      <c r="K125" s="144"/>
      <c r="L125" s="144"/>
      <c r="M125" s="144"/>
      <c r="N125" s="160"/>
    </row>
    <row r="126" spans="1:14">
      <c r="A126" s="64">
        <v>116</v>
      </c>
      <c r="B126" s="160">
        <f t="shared" si="5"/>
        <v>180</v>
      </c>
      <c r="C126" s="103">
        <f t="shared" si="6"/>
        <v>15.421691738206533</v>
      </c>
      <c r="D126" s="103">
        <f t="shared" si="7"/>
        <v>462.650752146196</v>
      </c>
      <c r="E126" s="103">
        <f t="shared" si="10"/>
        <v>1809.0169943749474</v>
      </c>
      <c r="F126" s="103">
        <f t="shared" si="8"/>
        <v>163.23194201956471</v>
      </c>
      <c r="G126" s="103">
        <f t="shared" si="9"/>
        <v>163.23194201956471</v>
      </c>
      <c r="H126" s="144"/>
      <c r="I126" s="144"/>
      <c r="J126" s="144"/>
      <c r="K126" s="144"/>
      <c r="L126" s="144"/>
      <c r="M126" s="144"/>
      <c r="N126" s="160"/>
    </row>
    <row r="127" spans="1:14">
      <c r="A127" s="64">
        <v>117</v>
      </c>
      <c r="B127" s="160">
        <f t="shared" si="5"/>
        <v>180</v>
      </c>
      <c r="C127" s="103">
        <f t="shared" si="6"/>
        <v>16.768057980435287</v>
      </c>
      <c r="D127" s="103">
        <f t="shared" si="7"/>
        <v>503.04173941305862</v>
      </c>
      <c r="E127" s="103">
        <f t="shared" si="10"/>
        <v>1891.0065241883681</v>
      </c>
      <c r="F127" s="103">
        <f t="shared" si="8"/>
        <v>161.84397723478941</v>
      </c>
      <c r="G127" s="103">
        <f t="shared" si="9"/>
        <v>161.84397723478941</v>
      </c>
      <c r="H127" s="144"/>
      <c r="I127" s="144"/>
      <c r="J127" s="144"/>
      <c r="K127" s="144"/>
      <c r="L127" s="144"/>
      <c r="M127" s="144"/>
      <c r="N127" s="160"/>
    </row>
    <row r="128" spans="1:14">
      <c r="A128" s="64">
        <v>118</v>
      </c>
      <c r="B128" s="160">
        <f t="shared" si="5"/>
        <v>180</v>
      </c>
      <c r="C128" s="103">
        <f t="shared" si="6"/>
        <v>18.156022765210594</v>
      </c>
      <c r="D128" s="103">
        <f t="shared" si="7"/>
        <v>544.68068295631781</v>
      </c>
      <c r="E128" s="103">
        <f t="shared" si="10"/>
        <v>1951.0565162951536</v>
      </c>
      <c r="F128" s="103">
        <f t="shared" si="8"/>
        <v>160.43760140145056</v>
      </c>
      <c r="G128" s="103">
        <f t="shared" si="9"/>
        <v>160.43760140145056</v>
      </c>
      <c r="H128" s="144"/>
      <c r="I128" s="144"/>
      <c r="J128" s="144"/>
      <c r="K128" s="144"/>
      <c r="L128" s="144"/>
      <c r="M128" s="144"/>
      <c r="N128" s="160"/>
    </row>
    <row r="129" spans="1:14">
      <c r="A129" s="64">
        <v>119</v>
      </c>
      <c r="B129" s="160">
        <f t="shared" si="5"/>
        <v>180</v>
      </c>
      <c r="C129" s="103">
        <f t="shared" si="6"/>
        <v>19.562398598549436</v>
      </c>
      <c r="D129" s="103">
        <f t="shared" si="7"/>
        <v>586.87195795648313</v>
      </c>
      <c r="E129" s="103">
        <f t="shared" si="10"/>
        <v>1987.6883405951378</v>
      </c>
      <c r="F129" s="103">
        <f t="shared" si="8"/>
        <v>159.03678501881191</v>
      </c>
      <c r="G129" s="103">
        <f t="shared" si="9"/>
        <v>159.03678501881191</v>
      </c>
      <c r="H129" s="144"/>
      <c r="I129" s="144"/>
      <c r="J129" s="144"/>
      <c r="K129" s="144"/>
      <c r="L129" s="144"/>
      <c r="M129" s="144"/>
      <c r="N129" s="160"/>
    </row>
    <row r="130" spans="1:14">
      <c r="A130" s="64">
        <v>120</v>
      </c>
      <c r="B130" s="160">
        <f t="shared" si="5"/>
        <v>180</v>
      </c>
      <c r="C130" s="103">
        <f t="shared" si="6"/>
        <v>20.963214981188088</v>
      </c>
      <c r="D130" s="103">
        <f t="shared" si="7"/>
        <v>628.89644943564258</v>
      </c>
      <c r="E130" s="103">
        <f t="shared" si="10"/>
        <v>2000</v>
      </c>
      <c r="F130" s="103">
        <f t="shared" si="8"/>
        <v>157.66568146824756</v>
      </c>
      <c r="G130" s="103">
        <f t="shared" si="9"/>
        <v>157.66568146824756</v>
      </c>
      <c r="H130" s="144"/>
      <c r="I130" s="144"/>
      <c r="J130" s="144"/>
      <c r="K130" s="144"/>
      <c r="L130" s="144"/>
      <c r="M130" s="144"/>
      <c r="N130" s="160"/>
    </row>
    <row r="131" spans="1:14">
      <c r="A131" s="64">
        <v>121</v>
      </c>
      <c r="B131" s="160">
        <f t="shared" si="5"/>
        <v>180</v>
      </c>
      <c r="C131" s="103">
        <f t="shared" si="6"/>
        <v>22.334318531752444</v>
      </c>
      <c r="D131" s="103">
        <f t="shared" si="7"/>
        <v>670.02955595257333</v>
      </c>
      <c r="E131" s="103">
        <f t="shared" si="10"/>
        <v>1987.6883405951378</v>
      </c>
      <c r="F131" s="103">
        <f t="shared" si="8"/>
        <v>156.348022683605</v>
      </c>
      <c r="G131" s="103">
        <f t="shared" si="9"/>
        <v>156.348022683605</v>
      </c>
      <c r="H131" s="144"/>
      <c r="I131" s="144"/>
      <c r="J131" s="144"/>
      <c r="K131" s="144"/>
      <c r="L131" s="144"/>
      <c r="M131" s="144"/>
      <c r="N131" s="160"/>
    </row>
    <row r="132" spans="1:14">
      <c r="A132" s="64">
        <v>122</v>
      </c>
      <c r="B132" s="160">
        <f t="shared" si="5"/>
        <v>180</v>
      </c>
      <c r="C132" s="103">
        <f t="shared" si="6"/>
        <v>23.651977316395005</v>
      </c>
      <c r="D132" s="103">
        <f t="shared" si="7"/>
        <v>709.55931949185015</v>
      </c>
      <c r="E132" s="103">
        <f t="shared" si="10"/>
        <v>1951.0565162951536</v>
      </c>
      <c r="F132" s="103">
        <f t="shared" si="8"/>
        <v>155.1065254868017</v>
      </c>
      <c r="G132" s="103">
        <f t="shared" si="9"/>
        <v>155.1065254868017</v>
      </c>
      <c r="H132" s="144"/>
      <c r="I132" s="144"/>
      <c r="J132" s="144"/>
      <c r="K132" s="144"/>
      <c r="L132" s="144"/>
      <c r="M132" s="144"/>
      <c r="N132" s="160"/>
    </row>
    <row r="133" spans="1:14">
      <c r="A133" s="64">
        <v>123</v>
      </c>
      <c r="B133" s="160">
        <f t="shared" si="5"/>
        <v>180</v>
      </c>
      <c r="C133" s="103">
        <f t="shared" si="6"/>
        <v>24.893474513198299</v>
      </c>
      <c r="D133" s="103">
        <f t="shared" si="7"/>
        <v>746.80423539594904</v>
      </c>
      <c r="E133" s="103">
        <f t="shared" si="10"/>
        <v>1891.0065241883678</v>
      </c>
      <c r="F133" s="103">
        <f t="shared" si="8"/>
        <v>153.96232319800927</v>
      </c>
      <c r="G133" s="103">
        <f t="shared" si="9"/>
        <v>153.96232319800927</v>
      </c>
      <c r="H133" s="144"/>
      <c r="I133" s="144"/>
      <c r="J133" s="144"/>
      <c r="K133" s="144"/>
      <c r="L133" s="144"/>
      <c r="M133" s="144"/>
      <c r="N133" s="160"/>
    </row>
    <row r="134" spans="1:14">
      <c r="A134" s="64">
        <v>124</v>
      </c>
      <c r="B134" s="160">
        <f t="shared" si="5"/>
        <v>180</v>
      </c>
      <c r="C134" s="103">
        <f t="shared" si="6"/>
        <v>26.037676801990727</v>
      </c>
      <c r="D134" s="103">
        <f t="shared" si="7"/>
        <v>781.13030405972177</v>
      </c>
      <c r="E134" s="103">
        <f t="shared" si="10"/>
        <v>1809.0169943749474</v>
      </c>
      <c r="F134" s="103">
        <f t="shared" si="8"/>
        <v>152.93443650769404</v>
      </c>
      <c r="G134" s="103">
        <f t="shared" si="9"/>
        <v>152.93443650769404</v>
      </c>
      <c r="H134" s="144"/>
      <c r="I134" s="144"/>
      <c r="J134" s="144"/>
      <c r="K134" s="144"/>
      <c r="L134" s="144"/>
      <c r="M134" s="144"/>
      <c r="N134" s="160"/>
    </row>
    <row r="135" spans="1:14">
      <c r="A135" s="64">
        <v>125</v>
      </c>
      <c r="B135" s="160">
        <f t="shared" si="5"/>
        <v>180</v>
      </c>
      <c r="C135" s="103">
        <f t="shared" si="6"/>
        <v>27.065563492305955</v>
      </c>
      <c r="D135" s="103">
        <f t="shared" si="7"/>
        <v>811.96690476917865</v>
      </c>
      <c r="E135" s="103">
        <f t="shared" si="10"/>
        <v>1707.1067811865476</v>
      </c>
      <c r="F135" s="103">
        <f t="shared" si="8"/>
        <v>152.03929663127667</v>
      </c>
      <c r="G135" s="103">
        <f t="shared" si="9"/>
        <v>152.03929663127667</v>
      </c>
      <c r="H135" s="144"/>
      <c r="I135" s="144"/>
      <c r="J135" s="144"/>
      <c r="K135" s="144"/>
      <c r="L135" s="144"/>
      <c r="M135" s="144"/>
      <c r="N135" s="160"/>
    </row>
    <row r="136" spans="1:14">
      <c r="A136" s="64">
        <v>126</v>
      </c>
      <c r="B136" s="160">
        <f t="shared" si="5"/>
        <v>180</v>
      </c>
      <c r="C136" s="103">
        <f t="shared" si="6"/>
        <v>27.96070336872333</v>
      </c>
      <c r="D136" s="103">
        <f t="shared" si="7"/>
        <v>838.82110106169989</v>
      </c>
      <c r="E136" s="103">
        <f t="shared" si="10"/>
        <v>1587.7852522924725</v>
      </c>
      <c r="F136" s="103">
        <f t="shared" si="8"/>
        <v>151.29033248004589</v>
      </c>
      <c r="G136" s="103">
        <f t="shared" si="9"/>
        <v>151.29033248004589</v>
      </c>
      <c r="H136" s="144"/>
      <c r="I136" s="144"/>
      <c r="J136" s="144"/>
      <c r="K136" s="144"/>
      <c r="L136" s="144"/>
      <c r="M136" s="144"/>
      <c r="N136" s="160"/>
    </row>
    <row r="137" spans="1:14">
      <c r="A137" s="64">
        <v>127</v>
      </c>
      <c r="B137" s="160">
        <f t="shared" si="5"/>
        <v>180</v>
      </c>
      <c r="C137" s="103">
        <f t="shared" si="6"/>
        <v>28.70966751995411</v>
      </c>
      <c r="D137" s="103">
        <f t="shared" si="7"/>
        <v>861.29002559862329</v>
      </c>
      <c r="E137" s="103">
        <f t="shared" si="10"/>
        <v>1453.990499739547</v>
      </c>
      <c r="F137" s="103">
        <f t="shared" si="8"/>
        <v>150.69763200590498</v>
      </c>
      <c r="G137" s="103">
        <f t="shared" si="9"/>
        <v>150.69763200590498</v>
      </c>
      <c r="H137" s="144"/>
      <c r="I137" s="144"/>
      <c r="J137" s="144"/>
      <c r="K137" s="144"/>
      <c r="L137" s="144"/>
      <c r="M137" s="144"/>
      <c r="N137" s="160"/>
    </row>
    <row r="138" spans="1:14">
      <c r="A138" s="64">
        <v>128</v>
      </c>
      <c r="B138" s="160">
        <f t="shared" si="5"/>
        <v>180</v>
      </c>
      <c r="C138" s="103">
        <f t="shared" si="6"/>
        <v>29.302367994095022</v>
      </c>
      <c r="D138" s="103">
        <f t="shared" si="7"/>
        <v>879.07103982285071</v>
      </c>
      <c r="E138" s="103">
        <f t="shared" si="10"/>
        <v>1309.0169943749474</v>
      </c>
      <c r="F138" s="103">
        <f t="shared" si="8"/>
        <v>150.26768605135288</v>
      </c>
      <c r="G138" s="103">
        <f t="shared" si="9"/>
        <v>150.26768605135288</v>
      </c>
      <c r="H138" s="144"/>
      <c r="I138" s="144"/>
      <c r="J138" s="144"/>
      <c r="K138" s="144"/>
      <c r="L138" s="144"/>
      <c r="M138" s="144"/>
      <c r="N138" s="160"/>
    </row>
    <row r="139" spans="1:14">
      <c r="A139" s="64">
        <v>129</v>
      </c>
      <c r="B139" s="160">
        <f t="shared" ref="B139:B178" si="11">$C$3</f>
        <v>180</v>
      </c>
      <c r="C139" s="103">
        <f t="shared" ref="C139:C178" si="12">B139-G138</f>
        <v>29.732313948647118</v>
      </c>
      <c r="D139" s="103">
        <f t="shared" ref="D139:D178" si="13">$N$5*C139</f>
        <v>891.96941845941353</v>
      </c>
      <c r="E139" s="103">
        <f t="shared" si="10"/>
        <v>1156.4344650402309</v>
      </c>
      <c r="F139" s="103">
        <f t="shared" ref="F139:F178" si="14">(D139/$C$1-E139/$C$1+F138)*$I$5</f>
        <v>150.00322100477206</v>
      </c>
      <c r="G139" s="103">
        <f t="shared" ref="G139:G178" si="15">(D139/$C$1-E139/$C$1+G138)*$I$5</f>
        <v>150.00322100477206</v>
      </c>
      <c r="H139" s="144"/>
      <c r="I139" s="144"/>
      <c r="J139" s="144"/>
      <c r="K139" s="144"/>
      <c r="L139" s="144"/>
      <c r="M139" s="144"/>
      <c r="N139" s="160"/>
    </row>
    <row r="140" spans="1:14">
      <c r="A140" s="64">
        <v>130</v>
      </c>
      <c r="B140" s="160">
        <f t="shared" si="11"/>
        <v>180</v>
      </c>
      <c r="C140" s="103">
        <f t="shared" si="12"/>
        <v>29.996778995227942</v>
      </c>
      <c r="D140" s="103">
        <f t="shared" si="13"/>
        <v>899.90336985683825</v>
      </c>
      <c r="E140" s="103">
        <f t="shared" si="10"/>
        <v>1000.0000000000002</v>
      </c>
      <c r="F140" s="103">
        <f t="shared" si="14"/>
        <v>149.9031243746289</v>
      </c>
      <c r="G140" s="103">
        <f t="shared" si="15"/>
        <v>149.9031243746289</v>
      </c>
      <c r="H140" s="144"/>
      <c r="I140" s="144"/>
      <c r="J140" s="144"/>
      <c r="K140" s="144"/>
      <c r="L140" s="144"/>
      <c r="M140" s="144"/>
      <c r="N140" s="160"/>
    </row>
    <row r="141" spans="1:14">
      <c r="A141" s="64">
        <v>131</v>
      </c>
      <c r="B141" s="160">
        <f t="shared" si="11"/>
        <v>180</v>
      </c>
      <c r="C141" s="103">
        <f t="shared" si="12"/>
        <v>30.096875625371098</v>
      </c>
      <c r="D141" s="103">
        <f t="shared" si="13"/>
        <v>902.90626876113288</v>
      </c>
      <c r="E141" s="103">
        <f t="shared" si="10"/>
        <v>843.56553495976925</v>
      </c>
      <c r="F141" s="103">
        <f t="shared" si="14"/>
        <v>149.96246510843028</v>
      </c>
      <c r="G141" s="103">
        <f t="shared" si="15"/>
        <v>149.96246510843028</v>
      </c>
      <c r="H141" s="144"/>
      <c r="I141" s="144"/>
      <c r="J141" s="144"/>
      <c r="K141" s="144"/>
      <c r="L141" s="144"/>
      <c r="M141" s="144"/>
      <c r="N141" s="160"/>
    </row>
    <row r="142" spans="1:14">
      <c r="A142" s="64">
        <v>132</v>
      </c>
      <c r="B142" s="160">
        <f t="shared" si="11"/>
        <v>180</v>
      </c>
      <c r="C142" s="103">
        <f t="shared" si="12"/>
        <v>30.03753489156972</v>
      </c>
      <c r="D142" s="103">
        <f t="shared" si="13"/>
        <v>901.12604674709155</v>
      </c>
      <c r="E142" s="103">
        <f t="shared" si="10"/>
        <v>690.98300562505278</v>
      </c>
      <c r="F142" s="103">
        <f t="shared" si="14"/>
        <v>150.17260814955233</v>
      </c>
      <c r="G142" s="103">
        <f t="shared" si="15"/>
        <v>150.17260814955233</v>
      </c>
      <c r="H142" s="144"/>
      <c r="I142" s="144"/>
      <c r="J142" s="144"/>
      <c r="K142" s="144"/>
      <c r="L142" s="144"/>
      <c r="M142" s="144"/>
      <c r="N142" s="160"/>
    </row>
    <row r="143" spans="1:14">
      <c r="A143" s="64">
        <v>133</v>
      </c>
      <c r="B143" s="160">
        <f t="shared" si="11"/>
        <v>180</v>
      </c>
      <c r="C143" s="103">
        <f t="shared" si="12"/>
        <v>29.827391850447668</v>
      </c>
      <c r="D143" s="103">
        <f t="shared" si="13"/>
        <v>894.82175551343005</v>
      </c>
      <c r="E143" s="103">
        <f t="shared" si="10"/>
        <v>546.00950026045257</v>
      </c>
      <c r="F143" s="103">
        <f t="shared" si="14"/>
        <v>150.5214204048053</v>
      </c>
      <c r="G143" s="103">
        <f t="shared" si="15"/>
        <v>150.5214204048053</v>
      </c>
      <c r="H143" s="144"/>
      <c r="I143" s="144"/>
      <c r="J143" s="144"/>
      <c r="K143" s="144"/>
      <c r="L143" s="144"/>
      <c r="M143" s="144"/>
      <c r="N143" s="160"/>
    </row>
    <row r="144" spans="1:14">
      <c r="A144" s="64">
        <v>134</v>
      </c>
      <c r="B144" s="160">
        <f t="shared" si="11"/>
        <v>180</v>
      </c>
      <c r="C144" s="103">
        <f t="shared" si="12"/>
        <v>29.478579595194702</v>
      </c>
      <c r="D144" s="103">
        <f t="shared" si="13"/>
        <v>884.35738785584113</v>
      </c>
      <c r="E144" s="103">
        <f t="shared" si="10"/>
        <v>412.21474770752633</v>
      </c>
      <c r="F144" s="103">
        <f t="shared" si="14"/>
        <v>150.99356304495362</v>
      </c>
      <c r="G144" s="103">
        <f t="shared" si="15"/>
        <v>150.99356304495362</v>
      </c>
      <c r="H144" s="144"/>
      <c r="I144" s="144"/>
      <c r="J144" s="144"/>
      <c r="K144" s="144"/>
      <c r="L144" s="144"/>
      <c r="M144" s="144"/>
      <c r="N144" s="160"/>
    </row>
    <row r="145" spans="1:14">
      <c r="A145" s="64">
        <v>135</v>
      </c>
      <c r="B145" s="160">
        <f t="shared" si="11"/>
        <v>180</v>
      </c>
      <c r="C145" s="103">
        <f t="shared" si="12"/>
        <v>29.006436955046382</v>
      </c>
      <c r="D145" s="103">
        <f t="shared" si="13"/>
        <v>870.19310865139141</v>
      </c>
      <c r="E145" s="103">
        <f t="shared" si="10"/>
        <v>292.89321881345268</v>
      </c>
      <c r="F145" s="103">
        <f t="shared" si="14"/>
        <v>151.57086293479156</v>
      </c>
      <c r="G145" s="103">
        <f t="shared" si="15"/>
        <v>151.57086293479156</v>
      </c>
      <c r="H145" s="144"/>
      <c r="I145" s="144"/>
      <c r="J145" s="144"/>
      <c r="K145" s="144"/>
      <c r="L145" s="144"/>
      <c r="M145" s="144"/>
      <c r="N145" s="160"/>
    </row>
    <row r="146" spans="1:14">
      <c r="A146" s="64">
        <v>136</v>
      </c>
      <c r="B146" s="160">
        <f t="shared" si="11"/>
        <v>180</v>
      </c>
      <c r="C146" s="103">
        <f t="shared" si="12"/>
        <v>28.429137065208437</v>
      </c>
      <c r="D146" s="103">
        <f t="shared" si="13"/>
        <v>852.87411195625305</v>
      </c>
      <c r="E146" s="103">
        <f t="shared" si="10"/>
        <v>190.98300562505267</v>
      </c>
      <c r="F146" s="103">
        <f t="shared" si="14"/>
        <v>152.23275404112277</v>
      </c>
      <c r="G146" s="103">
        <f t="shared" si="15"/>
        <v>152.23275404112277</v>
      </c>
      <c r="H146" s="144"/>
      <c r="I146" s="144"/>
      <c r="J146" s="144"/>
      <c r="K146" s="144"/>
      <c r="L146" s="144"/>
      <c r="M146" s="144"/>
      <c r="N146" s="160"/>
    </row>
    <row r="147" spans="1:14">
      <c r="A147" s="64">
        <v>137</v>
      </c>
      <c r="B147" s="160">
        <f t="shared" si="11"/>
        <v>180</v>
      </c>
      <c r="C147" s="103">
        <f t="shared" si="12"/>
        <v>27.767245958877226</v>
      </c>
      <c r="D147" s="103">
        <f t="shared" si="13"/>
        <v>833.01737876631682</v>
      </c>
      <c r="E147" s="103">
        <f t="shared" si="10"/>
        <v>108.99347581163188</v>
      </c>
      <c r="F147" s="103">
        <f t="shared" si="14"/>
        <v>152.95677794407746</v>
      </c>
      <c r="G147" s="103">
        <f t="shared" si="15"/>
        <v>152.95677794407746</v>
      </c>
      <c r="H147" s="144"/>
      <c r="I147" s="144"/>
      <c r="J147" s="144"/>
      <c r="K147" s="144"/>
      <c r="L147" s="144"/>
      <c r="M147" s="144"/>
      <c r="N147" s="160"/>
    </row>
    <row r="148" spans="1:14">
      <c r="A148" s="64">
        <v>138</v>
      </c>
      <c r="B148" s="160">
        <f t="shared" si="11"/>
        <v>180</v>
      </c>
      <c r="C148" s="103">
        <f t="shared" si="12"/>
        <v>27.043222055922541</v>
      </c>
      <c r="D148" s="103">
        <f t="shared" si="13"/>
        <v>811.29666167767618</v>
      </c>
      <c r="E148" s="103">
        <f t="shared" si="10"/>
        <v>48.943483704846471</v>
      </c>
      <c r="F148" s="103">
        <f t="shared" si="14"/>
        <v>153.7191311220503</v>
      </c>
      <c r="G148" s="103">
        <f t="shared" si="15"/>
        <v>153.7191311220503</v>
      </c>
      <c r="H148" s="144"/>
      <c r="I148" s="144"/>
      <c r="J148" s="144"/>
      <c r="K148" s="144"/>
      <c r="L148" s="144"/>
      <c r="M148" s="144"/>
      <c r="N148" s="160"/>
    </row>
    <row r="149" spans="1:14">
      <c r="A149" s="64">
        <v>139</v>
      </c>
      <c r="B149" s="160">
        <f t="shared" si="11"/>
        <v>180</v>
      </c>
      <c r="C149" s="103">
        <f t="shared" si="12"/>
        <v>26.2808688779497</v>
      </c>
      <c r="D149" s="103">
        <f t="shared" si="13"/>
        <v>788.42606633849095</v>
      </c>
      <c r="E149" s="103">
        <f t="shared" si="10"/>
        <v>12.31165940486234</v>
      </c>
      <c r="F149" s="103">
        <f t="shared" si="14"/>
        <v>154.49524552898393</v>
      </c>
      <c r="G149" s="103">
        <f t="shared" si="15"/>
        <v>154.49524552898393</v>
      </c>
      <c r="H149" s="144"/>
      <c r="I149" s="144"/>
      <c r="J149" s="144"/>
      <c r="K149" s="144"/>
      <c r="L149" s="144"/>
      <c r="M149" s="144"/>
      <c r="N149" s="160"/>
    </row>
    <row r="150" spans="1:14">
      <c r="A150" s="64">
        <v>140</v>
      </c>
      <c r="B150" s="160">
        <f t="shared" si="11"/>
        <v>180</v>
      </c>
      <c r="C150" s="103">
        <f t="shared" si="12"/>
        <v>25.504754471016071</v>
      </c>
      <c r="D150" s="103">
        <f t="shared" si="13"/>
        <v>765.14263413048207</v>
      </c>
      <c r="E150" s="103">
        <f t="shared" si="10"/>
        <v>0</v>
      </c>
      <c r="F150" s="103">
        <f t="shared" si="14"/>
        <v>155.26038816311441</v>
      </c>
      <c r="G150" s="103">
        <f t="shared" si="15"/>
        <v>155.26038816311441</v>
      </c>
      <c r="H150" s="144"/>
      <c r="I150" s="144"/>
      <c r="J150" s="144"/>
      <c r="K150" s="144"/>
      <c r="L150" s="144"/>
      <c r="M150" s="144"/>
      <c r="N150" s="160"/>
    </row>
    <row r="151" spans="1:14">
      <c r="A151" s="64">
        <v>141</v>
      </c>
      <c r="B151" s="160">
        <f t="shared" si="11"/>
        <v>180</v>
      </c>
      <c r="C151" s="103">
        <f t="shared" si="12"/>
        <v>24.739611836885587</v>
      </c>
      <c r="D151" s="103">
        <f t="shared" si="13"/>
        <v>742.18835510656754</v>
      </c>
      <c r="E151" s="103">
        <v>0</v>
      </c>
      <c r="F151" s="103">
        <f t="shared" si="14"/>
        <v>156.00257651822099</v>
      </c>
      <c r="G151" s="103">
        <f t="shared" si="15"/>
        <v>156.00257651822099</v>
      </c>
      <c r="H151" s="144"/>
      <c r="I151" s="144"/>
      <c r="J151" s="144"/>
      <c r="K151" s="144"/>
      <c r="L151" s="144"/>
      <c r="M151" s="144"/>
      <c r="N151" s="160"/>
    </row>
    <row r="152" spans="1:14">
      <c r="A152" s="64">
        <v>142</v>
      </c>
      <c r="B152" s="160">
        <f t="shared" si="11"/>
        <v>180</v>
      </c>
      <c r="C152" s="103">
        <f t="shared" si="12"/>
        <v>23.997423481779009</v>
      </c>
      <c r="D152" s="103">
        <f t="shared" si="13"/>
        <v>719.92270445337022</v>
      </c>
      <c r="E152" s="103">
        <v>0</v>
      </c>
      <c r="F152" s="103">
        <f t="shared" si="14"/>
        <v>156.72249922267437</v>
      </c>
      <c r="G152" s="103">
        <f t="shared" si="15"/>
        <v>156.72249922267437</v>
      </c>
      <c r="H152" s="144"/>
      <c r="I152" s="144"/>
      <c r="J152" s="144"/>
      <c r="K152" s="144"/>
      <c r="L152" s="144"/>
      <c r="M152" s="144"/>
      <c r="N152" s="160"/>
    </row>
    <row r="153" spans="1:14">
      <c r="A153" s="64">
        <v>143</v>
      </c>
      <c r="B153" s="160">
        <f t="shared" si="11"/>
        <v>180</v>
      </c>
      <c r="C153" s="103">
        <f t="shared" si="12"/>
        <v>23.277500777325628</v>
      </c>
      <c r="D153" s="103">
        <f t="shared" si="13"/>
        <v>698.32502331976889</v>
      </c>
      <c r="E153" s="103">
        <v>0</v>
      </c>
      <c r="F153" s="103">
        <f t="shared" si="14"/>
        <v>157.42082424599414</v>
      </c>
      <c r="G153" s="103">
        <f t="shared" si="15"/>
        <v>157.42082424599414</v>
      </c>
      <c r="H153" s="144"/>
      <c r="I153" s="144"/>
      <c r="J153" s="144"/>
      <c r="K153" s="144"/>
      <c r="L153" s="144"/>
      <c r="M153" s="144"/>
      <c r="N153" s="160"/>
    </row>
    <row r="154" spans="1:14">
      <c r="A154" s="64">
        <v>144</v>
      </c>
      <c r="B154" s="160">
        <f t="shared" si="11"/>
        <v>180</v>
      </c>
      <c r="C154" s="103">
        <f t="shared" si="12"/>
        <v>22.57917575400586</v>
      </c>
      <c r="D154" s="103">
        <f t="shared" si="13"/>
        <v>677.37527262017579</v>
      </c>
      <c r="E154" s="103">
        <v>0</v>
      </c>
      <c r="F154" s="103">
        <f t="shared" si="14"/>
        <v>158.09819951861431</v>
      </c>
      <c r="G154" s="103">
        <f t="shared" si="15"/>
        <v>158.09819951861431</v>
      </c>
      <c r="H154" s="144"/>
      <c r="I154" s="144"/>
      <c r="J154" s="144"/>
      <c r="K154" s="144"/>
      <c r="L154" s="144"/>
      <c r="M154" s="144"/>
      <c r="N154" s="160"/>
    </row>
    <row r="155" spans="1:14">
      <c r="A155" s="64">
        <v>145</v>
      </c>
      <c r="B155" s="160">
        <f t="shared" si="11"/>
        <v>180</v>
      </c>
      <c r="C155" s="103">
        <f t="shared" si="12"/>
        <v>21.901800481385692</v>
      </c>
      <c r="D155" s="103">
        <f t="shared" si="13"/>
        <v>657.05401444157076</v>
      </c>
      <c r="E155" s="103">
        <v>0</v>
      </c>
      <c r="F155" s="103">
        <f t="shared" si="14"/>
        <v>158.75525353305588</v>
      </c>
      <c r="G155" s="103">
        <f t="shared" si="15"/>
        <v>158.75525353305588</v>
      </c>
      <c r="H155" s="144"/>
      <c r="I155" s="144"/>
      <c r="J155" s="144"/>
      <c r="K155" s="144"/>
      <c r="L155" s="144"/>
      <c r="M155" s="144"/>
      <c r="N155" s="160"/>
    </row>
    <row r="156" spans="1:14">
      <c r="A156" s="64">
        <v>146</v>
      </c>
      <c r="B156" s="160">
        <f t="shared" si="11"/>
        <v>180</v>
      </c>
      <c r="C156" s="103">
        <f t="shared" si="12"/>
        <v>21.244746466944122</v>
      </c>
      <c r="D156" s="103">
        <f t="shared" si="13"/>
        <v>637.34239400832371</v>
      </c>
      <c r="E156" s="103">
        <v>0</v>
      </c>
      <c r="F156" s="103">
        <f t="shared" si="14"/>
        <v>159.39259592706421</v>
      </c>
      <c r="G156" s="103">
        <f t="shared" si="15"/>
        <v>159.39259592706421</v>
      </c>
      <c r="H156" s="144"/>
      <c r="I156" s="144"/>
      <c r="J156" s="144"/>
      <c r="K156" s="144"/>
      <c r="L156" s="144"/>
      <c r="M156" s="144"/>
      <c r="N156" s="160"/>
    </row>
    <row r="157" spans="1:14">
      <c r="A157" s="64">
        <v>147</v>
      </c>
      <c r="B157" s="160">
        <f t="shared" si="11"/>
        <v>180</v>
      </c>
      <c r="C157" s="103">
        <f t="shared" si="12"/>
        <v>20.607404072935793</v>
      </c>
      <c r="D157" s="103">
        <f t="shared" si="13"/>
        <v>618.22212218807385</v>
      </c>
      <c r="E157" s="103">
        <v>0</v>
      </c>
      <c r="F157" s="103">
        <f t="shared" si="14"/>
        <v>160.01081804925229</v>
      </c>
      <c r="G157" s="103">
        <f t="shared" si="15"/>
        <v>160.01081804925229</v>
      </c>
      <c r="H157" s="144"/>
      <c r="I157" s="144"/>
      <c r="J157" s="144"/>
      <c r="K157" s="144"/>
      <c r="L157" s="144"/>
      <c r="M157" s="144"/>
      <c r="N157" s="160"/>
    </row>
    <row r="158" spans="1:14">
      <c r="A158" s="64">
        <v>148</v>
      </c>
      <c r="B158" s="160">
        <f t="shared" si="11"/>
        <v>180</v>
      </c>
      <c r="C158" s="103">
        <f t="shared" si="12"/>
        <v>19.989181950747707</v>
      </c>
      <c r="D158" s="103">
        <f t="shared" si="13"/>
        <v>599.6754585224312</v>
      </c>
      <c r="E158" s="103">
        <v>0</v>
      </c>
      <c r="F158" s="103">
        <f t="shared" si="14"/>
        <v>160.61049350777472</v>
      </c>
      <c r="G158" s="103">
        <f t="shared" si="15"/>
        <v>160.61049350777472</v>
      </c>
      <c r="H158" s="144"/>
      <c r="I158" s="144"/>
      <c r="J158" s="144"/>
      <c r="K158" s="144"/>
      <c r="L158" s="144"/>
      <c r="M158" s="144"/>
      <c r="N158" s="160"/>
    </row>
    <row r="159" spans="1:14">
      <c r="A159" s="64">
        <v>149</v>
      </c>
      <c r="B159" s="160">
        <f t="shared" si="11"/>
        <v>180</v>
      </c>
      <c r="C159" s="103">
        <f t="shared" si="12"/>
        <v>19.38950649222528</v>
      </c>
      <c r="D159" s="103">
        <f t="shared" si="13"/>
        <v>581.6851947667584</v>
      </c>
      <c r="E159" s="103">
        <v>0</v>
      </c>
      <c r="F159" s="103">
        <f t="shared" si="14"/>
        <v>161.19217870254147</v>
      </c>
      <c r="G159" s="103">
        <f t="shared" si="15"/>
        <v>161.19217870254147</v>
      </c>
      <c r="H159" s="144"/>
      <c r="I159" s="144"/>
      <c r="J159" s="144"/>
      <c r="K159" s="144"/>
      <c r="L159" s="144"/>
      <c r="M159" s="144"/>
      <c r="N159" s="160"/>
    </row>
    <row r="160" spans="1:14">
      <c r="A160" s="64">
        <v>150</v>
      </c>
      <c r="B160" s="160">
        <f t="shared" si="11"/>
        <v>180</v>
      </c>
      <c r="C160" s="103">
        <f t="shared" si="12"/>
        <v>18.807821297458531</v>
      </c>
      <c r="D160" s="103">
        <f t="shared" si="13"/>
        <v>564.23463892375594</v>
      </c>
      <c r="E160" s="103">
        <v>0</v>
      </c>
      <c r="F160" s="103">
        <f t="shared" si="14"/>
        <v>161.75641334146522</v>
      </c>
      <c r="G160" s="103">
        <f t="shared" si="15"/>
        <v>161.75641334146522</v>
      </c>
      <c r="H160" s="144"/>
      <c r="I160" s="144"/>
      <c r="J160" s="144"/>
      <c r="K160" s="144"/>
      <c r="L160" s="144"/>
      <c r="M160" s="144"/>
      <c r="N160" s="160"/>
    </row>
    <row r="161" spans="1:14">
      <c r="A161" s="64">
        <v>151</v>
      </c>
      <c r="B161" s="160">
        <f t="shared" si="11"/>
        <v>180</v>
      </c>
      <c r="C161" s="103">
        <f t="shared" si="12"/>
        <v>18.243586658534781</v>
      </c>
      <c r="D161" s="103">
        <f t="shared" si="13"/>
        <v>547.30759975604337</v>
      </c>
      <c r="E161" s="103">
        <v>0</v>
      </c>
      <c r="F161" s="103">
        <f t="shared" si="14"/>
        <v>162.30372094122126</v>
      </c>
      <c r="G161" s="103">
        <f t="shared" si="15"/>
        <v>162.30372094122126</v>
      </c>
      <c r="H161" s="144"/>
      <c r="I161" s="144"/>
      <c r="J161" s="144"/>
      <c r="K161" s="144"/>
      <c r="L161" s="144"/>
      <c r="M161" s="144"/>
      <c r="N161" s="160"/>
    </row>
    <row r="162" spans="1:14">
      <c r="A162" s="64">
        <v>152</v>
      </c>
      <c r="B162" s="160">
        <f t="shared" si="11"/>
        <v>180</v>
      </c>
      <c r="C162" s="103">
        <f t="shared" si="12"/>
        <v>17.696279058778742</v>
      </c>
      <c r="D162" s="103">
        <f t="shared" si="13"/>
        <v>530.88837176336233</v>
      </c>
      <c r="E162" s="103">
        <v>0</v>
      </c>
      <c r="F162" s="103">
        <f t="shared" si="14"/>
        <v>162.83460931298461</v>
      </c>
      <c r="G162" s="103">
        <f t="shared" si="15"/>
        <v>162.83460931298461</v>
      </c>
      <c r="H162" s="144"/>
      <c r="I162" s="144"/>
      <c r="J162" s="144"/>
      <c r="K162" s="144"/>
      <c r="L162" s="144"/>
      <c r="M162" s="144"/>
      <c r="N162" s="160"/>
    </row>
    <row r="163" spans="1:14">
      <c r="A163" s="64">
        <v>153</v>
      </c>
      <c r="B163" s="160">
        <f t="shared" si="11"/>
        <v>180</v>
      </c>
      <c r="C163" s="103">
        <f t="shared" si="12"/>
        <v>17.165390687015389</v>
      </c>
      <c r="D163" s="103">
        <f t="shared" si="13"/>
        <v>514.96172061046173</v>
      </c>
      <c r="E163" s="103">
        <v>0</v>
      </c>
      <c r="F163" s="103">
        <f t="shared" si="14"/>
        <v>163.34957103359508</v>
      </c>
      <c r="G163" s="103">
        <f t="shared" si="15"/>
        <v>163.34957103359508</v>
      </c>
      <c r="H163" s="144"/>
      <c r="I163" s="144"/>
      <c r="J163" s="144"/>
      <c r="K163" s="144"/>
      <c r="L163" s="144"/>
      <c r="M163" s="144"/>
      <c r="N163" s="160"/>
    </row>
    <row r="164" spans="1:14">
      <c r="A164" s="64">
        <v>154</v>
      </c>
      <c r="B164" s="160">
        <f t="shared" si="11"/>
        <v>180</v>
      </c>
      <c r="C164" s="103">
        <f t="shared" si="12"/>
        <v>16.650428966404917</v>
      </c>
      <c r="D164" s="103">
        <f t="shared" si="13"/>
        <v>499.5128689921475</v>
      </c>
      <c r="E164" s="103">
        <v>0</v>
      </c>
      <c r="F164" s="103">
        <f t="shared" si="14"/>
        <v>163.84908390258724</v>
      </c>
      <c r="G164" s="103">
        <f t="shared" si="15"/>
        <v>163.84908390258724</v>
      </c>
      <c r="H164" s="144"/>
      <c r="I164" s="144"/>
      <c r="J164" s="144"/>
      <c r="K164" s="144"/>
      <c r="L164" s="144"/>
      <c r="M164" s="144"/>
      <c r="N164" s="160"/>
    </row>
    <row r="165" spans="1:14">
      <c r="A165" s="64">
        <v>155</v>
      </c>
      <c r="B165" s="160">
        <f t="shared" si="11"/>
        <v>180</v>
      </c>
      <c r="C165" s="103">
        <f t="shared" si="12"/>
        <v>16.150916097412761</v>
      </c>
      <c r="D165" s="103">
        <f t="shared" si="13"/>
        <v>484.52748292238283</v>
      </c>
      <c r="E165" s="103">
        <v>0</v>
      </c>
      <c r="F165" s="103">
        <f t="shared" si="14"/>
        <v>164.33361138550961</v>
      </c>
      <c r="G165" s="103">
        <f t="shared" si="15"/>
        <v>164.33361138550961</v>
      </c>
      <c r="H165" s="144"/>
      <c r="I165" s="144"/>
      <c r="J165" s="144"/>
      <c r="K165" s="144"/>
      <c r="L165" s="144"/>
      <c r="M165" s="144"/>
      <c r="N165" s="160"/>
    </row>
    <row r="166" spans="1:14">
      <c r="A166" s="64">
        <v>156</v>
      </c>
      <c r="B166" s="160">
        <f t="shared" si="11"/>
        <v>180</v>
      </c>
      <c r="C166" s="103">
        <f t="shared" si="12"/>
        <v>15.666388614490387</v>
      </c>
      <c r="D166" s="103">
        <f t="shared" si="13"/>
        <v>469.99165843471161</v>
      </c>
      <c r="E166" s="103">
        <v>0</v>
      </c>
      <c r="F166" s="103">
        <f t="shared" si="14"/>
        <v>164.80360304394432</v>
      </c>
      <c r="G166" s="103">
        <f t="shared" si="15"/>
        <v>164.80360304394432</v>
      </c>
      <c r="H166" s="144"/>
      <c r="I166" s="144"/>
      <c r="J166" s="144"/>
      <c r="K166" s="144"/>
      <c r="L166" s="144"/>
      <c r="M166" s="144"/>
      <c r="N166" s="160"/>
    </row>
    <row r="167" spans="1:14">
      <c r="A167" s="64">
        <v>157</v>
      </c>
      <c r="B167" s="160">
        <f t="shared" si="11"/>
        <v>180</v>
      </c>
      <c r="C167" s="103">
        <f t="shared" si="12"/>
        <v>15.196396956055679</v>
      </c>
      <c r="D167" s="103">
        <f t="shared" si="13"/>
        <v>455.89190868167037</v>
      </c>
      <c r="E167" s="103">
        <v>0</v>
      </c>
      <c r="F167" s="103">
        <f t="shared" si="14"/>
        <v>165.259494952626</v>
      </c>
      <c r="G167" s="103">
        <f t="shared" si="15"/>
        <v>165.259494952626</v>
      </c>
      <c r="H167" s="144"/>
      <c r="I167" s="144"/>
      <c r="J167" s="144"/>
      <c r="K167" s="144"/>
      <c r="L167" s="144"/>
      <c r="M167" s="144"/>
      <c r="N167" s="160"/>
    </row>
    <row r="168" spans="1:14">
      <c r="A168" s="64">
        <v>158</v>
      </c>
      <c r="B168" s="160">
        <f t="shared" si="11"/>
        <v>180</v>
      </c>
      <c r="C168" s="103">
        <f t="shared" si="12"/>
        <v>14.740505047374</v>
      </c>
      <c r="D168" s="103">
        <f t="shared" si="13"/>
        <v>442.21515142122001</v>
      </c>
      <c r="E168" s="103">
        <v>0</v>
      </c>
      <c r="F168" s="103">
        <f t="shared" si="14"/>
        <v>165.70171010404721</v>
      </c>
      <c r="G168" s="103">
        <f t="shared" si="15"/>
        <v>165.70171010404721</v>
      </c>
      <c r="H168" s="144"/>
      <c r="I168" s="144"/>
      <c r="J168" s="144"/>
      <c r="K168" s="144"/>
      <c r="L168" s="144"/>
      <c r="M168" s="144"/>
      <c r="N168" s="160"/>
    </row>
    <row r="169" spans="1:14">
      <c r="A169" s="64">
        <v>159</v>
      </c>
      <c r="B169" s="160">
        <f t="shared" si="11"/>
        <v>180</v>
      </c>
      <c r="C169" s="103">
        <f t="shared" si="12"/>
        <v>14.298289895952792</v>
      </c>
      <c r="D169" s="103">
        <f t="shared" si="13"/>
        <v>428.94869687858375</v>
      </c>
      <c r="E169" s="103">
        <v>0</v>
      </c>
      <c r="F169" s="103">
        <f t="shared" si="14"/>
        <v>166.1306588009258</v>
      </c>
      <c r="G169" s="103">
        <f t="shared" si="15"/>
        <v>166.1306588009258</v>
      </c>
      <c r="H169" s="144"/>
      <c r="I169" s="144"/>
      <c r="J169" s="144"/>
      <c r="K169" s="144"/>
      <c r="L169" s="144"/>
      <c r="M169" s="144"/>
      <c r="N169" s="160"/>
    </row>
    <row r="170" spans="1:14">
      <c r="A170" s="64">
        <v>160</v>
      </c>
      <c r="B170" s="160">
        <f t="shared" si="11"/>
        <v>180</v>
      </c>
      <c r="C170" s="103">
        <f t="shared" si="12"/>
        <v>13.869341199074199</v>
      </c>
      <c r="D170" s="103">
        <f t="shared" si="13"/>
        <v>416.08023597222598</v>
      </c>
      <c r="E170" s="103">
        <v>0</v>
      </c>
      <c r="F170" s="103">
        <f t="shared" si="14"/>
        <v>166.54673903689803</v>
      </c>
      <c r="G170" s="103">
        <f t="shared" si="15"/>
        <v>166.54673903689803</v>
      </c>
      <c r="H170" s="144"/>
      <c r="I170" s="144"/>
      <c r="J170" s="144"/>
      <c r="K170" s="144"/>
      <c r="L170" s="144"/>
      <c r="M170" s="144"/>
      <c r="N170" s="160"/>
    </row>
    <row r="171" spans="1:14">
      <c r="A171" s="64">
        <v>161</v>
      </c>
      <c r="B171" s="160">
        <f t="shared" si="11"/>
        <v>180</v>
      </c>
      <c r="C171" s="103">
        <f t="shared" si="12"/>
        <v>13.453260963101968</v>
      </c>
      <c r="D171" s="103">
        <f t="shared" si="13"/>
        <v>403.59782889305905</v>
      </c>
      <c r="E171" s="103">
        <v>0</v>
      </c>
      <c r="F171" s="103">
        <f t="shared" si="14"/>
        <v>166.95033686579109</v>
      </c>
      <c r="G171" s="103">
        <f t="shared" si="15"/>
        <v>166.95033686579109</v>
      </c>
      <c r="H171" s="144"/>
      <c r="I171" s="144"/>
      <c r="J171" s="144"/>
      <c r="K171" s="144"/>
      <c r="L171" s="144"/>
      <c r="M171" s="144"/>
      <c r="N171" s="160"/>
    </row>
    <row r="172" spans="1:14">
      <c r="A172" s="64">
        <v>162</v>
      </c>
      <c r="B172" s="160">
        <f t="shared" si="11"/>
        <v>180</v>
      </c>
      <c r="C172" s="103">
        <f t="shared" si="12"/>
        <v>13.049663134208913</v>
      </c>
      <c r="D172" s="103">
        <f t="shared" si="13"/>
        <v>391.48989402626739</v>
      </c>
      <c r="E172" s="103">
        <v>0</v>
      </c>
      <c r="F172" s="103">
        <f t="shared" si="14"/>
        <v>167.34182675981737</v>
      </c>
      <c r="G172" s="103">
        <f t="shared" si="15"/>
        <v>167.34182675981737</v>
      </c>
      <c r="H172" s="144"/>
      <c r="I172" s="144"/>
      <c r="J172" s="144"/>
      <c r="K172" s="144"/>
      <c r="L172" s="144"/>
      <c r="M172" s="144"/>
      <c r="N172" s="160"/>
    </row>
    <row r="173" spans="1:14">
      <c r="A173" s="64">
        <v>163</v>
      </c>
      <c r="B173" s="160">
        <f t="shared" si="11"/>
        <v>180</v>
      </c>
      <c r="C173" s="103">
        <f t="shared" si="12"/>
        <v>12.658173240182634</v>
      </c>
      <c r="D173" s="103">
        <f t="shared" si="13"/>
        <v>379.74519720547903</v>
      </c>
      <c r="E173" s="103">
        <v>0</v>
      </c>
      <c r="F173" s="103">
        <f t="shared" si="14"/>
        <v>167.72157195702283</v>
      </c>
      <c r="G173" s="103">
        <f t="shared" si="15"/>
        <v>167.72157195702283</v>
      </c>
      <c r="H173" s="144"/>
      <c r="I173" s="144"/>
      <c r="J173" s="144"/>
      <c r="K173" s="144"/>
      <c r="L173" s="144"/>
      <c r="M173" s="144"/>
      <c r="N173" s="160"/>
    </row>
    <row r="174" spans="1:14">
      <c r="A174" s="64">
        <v>164</v>
      </c>
      <c r="B174" s="160">
        <f t="shared" si="11"/>
        <v>180</v>
      </c>
      <c r="C174" s="103">
        <f t="shared" si="12"/>
        <v>12.278428042977168</v>
      </c>
      <c r="D174" s="103">
        <f t="shared" si="13"/>
        <v>368.35284128931505</v>
      </c>
      <c r="E174" s="103">
        <v>0</v>
      </c>
      <c r="F174" s="103">
        <f t="shared" si="14"/>
        <v>168.08992479831215</v>
      </c>
      <c r="G174" s="103">
        <f t="shared" si="15"/>
        <v>168.08992479831215</v>
      </c>
      <c r="H174" s="144"/>
      <c r="I174" s="144"/>
      <c r="J174" s="144"/>
      <c r="K174" s="144"/>
      <c r="L174" s="144"/>
      <c r="M174" s="144"/>
      <c r="N174" s="160"/>
    </row>
    <row r="175" spans="1:14">
      <c r="A175" s="64">
        <v>165</v>
      </c>
      <c r="B175" s="160">
        <f t="shared" si="11"/>
        <v>180</v>
      </c>
      <c r="C175" s="103">
        <f t="shared" si="12"/>
        <v>11.910075201687846</v>
      </c>
      <c r="D175" s="103">
        <f t="shared" si="13"/>
        <v>357.30225605063538</v>
      </c>
      <c r="E175" s="103">
        <v>0</v>
      </c>
      <c r="F175" s="103">
        <f t="shared" si="14"/>
        <v>168.4472270543628</v>
      </c>
      <c r="G175" s="103">
        <f t="shared" si="15"/>
        <v>168.4472270543628</v>
      </c>
      <c r="H175" s="144"/>
      <c r="I175" s="144"/>
      <c r="J175" s="144"/>
      <c r="K175" s="144"/>
      <c r="L175" s="144"/>
      <c r="M175" s="144"/>
      <c r="N175" s="160"/>
    </row>
    <row r="176" spans="1:14">
      <c r="A176" s="64">
        <v>166</v>
      </c>
      <c r="B176" s="160">
        <f t="shared" si="11"/>
        <v>180</v>
      </c>
      <c r="C176" s="103">
        <f t="shared" si="12"/>
        <v>11.552772945637201</v>
      </c>
      <c r="D176" s="103">
        <f t="shared" si="13"/>
        <v>346.58318836911604</v>
      </c>
      <c r="E176" s="103">
        <v>0</v>
      </c>
      <c r="F176" s="103">
        <f t="shared" si="14"/>
        <v>168.79381024273192</v>
      </c>
      <c r="G176" s="103">
        <f t="shared" si="15"/>
        <v>168.79381024273192</v>
      </c>
      <c r="H176" s="144"/>
      <c r="I176" s="144"/>
      <c r="J176" s="144"/>
      <c r="K176" s="144"/>
      <c r="L176" s="144"/>
      <c r="M176" s="144"/>
      <c r="N176" s="160"/>
    </row>
    <row r="177" spans="1:14">
      <c r="A177" s="64">
        <v>167</v>
      </c>
      <c r="B177" s="160">
        <f t="shared" si="11"/>
        <v>180</v>
      </c>
      <c r="C177" s="103">
        <f t="shared" si="12"/>
        <v>11.206189757268078</v>
      </c>
      <c r="D177" s="103">
        <f t="shared" si="13"/>
        <v>336.18569271804233</v>
      </c>
      <c r="E177" s="103">
        <v>0</v>
      </c>
      <c r="F177" s="103">
        <f t="shared" si="14"/>
        <v>169.12999593544995</v>
      </c>
      <c r="G177" s="103">
        <f t="shared" si="15"/>
        <v>169.12999593544995</v>
      </c>
      <c r="H177" s="144"/>
      <c r="I177" s="144"/>
      <c r="J177" s="144"/>
      <c r="K177" s="144"/>
      <c r="L177" s="144"/>
      <c r="M177" s="144"/>
      <c r="N177" s="160"/>
    </row>
    <row r="178" spans="1:14">
      <c r="A178" s="64">
        <v>168</v>
      </c>
      <c r="B178" s="160">
        <f t="shared" si="11"/>
        <v>180</v>
      </c>
      <c r="C178" s="103">
        <f t="shared" si="12"/>
        <v>10.870004064550045</v>
      </c>
      <c r="D178" s="103">
        <f t="shared" si="13"/>
        <v>326.10012193650135</v>
      </c>
      <c r="E178" s="103">
        <v>0</v>
      </c>
      <c r="F178" s="103">
        <f t="shared" si="14"/>
        <v>169.45609605738645</v>
      </c>
      <c r="G178" s="103">
        <f t="shared" si="15"/>
        <v>169.45609605738645</v>
      </c>
      <c r="H178" s="144"/>
      <c r="I178" s="144"/>
      <c r="J178" s="144"/>
      <c r="K178" s="144"/>
      <c r="L178" s="144"/>
      <c r="M178" s="144"/>
      <c r="N178" s="160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1"/>
  <sheetViews>
    <sheetView workbookViewId="0">
      <selection activeCell="G13" sqref="G13:G181"/>
    </sheetView>
  </sheetViews>
  <sheetFormatPr baseColWidth="10" defaultRowHeight="15" x14ac:dyDescent="0"/>
  <cols>
    <col min="2" max="2" width="12.33203125" customWidth="1"/>
    <col min="12" max="12" width="13" customWidth="1"/>
    <col min="14" max="14" width="12.6640625" customWidth="1"/>
  </cols>
  <sheetData>
    <row r="1" spans="1:16" ht="16" thickBot="1">
      <c r="B1" t="s">
        <v>277</v>
      </c>
      <c r="C1" s="145">
        <v>1000</v>
      </c>
      <c r="D1" t="s">
        <v>184</v>
      </c>
      <c r="I1" t="s">
        <v>287</v>
      </c>
    </row>
    <row r="2" spans="1:16" ht="16" thickBot="1">
      <c r="B2" t="s">
        <v>290</v>
      </c>
      <c r="C2" s="50">
        <v>20000</v>
      </c>
      <c r="D2" t="s">
        <v>283</v>
      </c>
      <c r="I2" t="s">
        <v>279</v>
      </c>
      <c r="J2" t="s">
        <v>281</v>
      </c>
      <c r="M2" t="s">
        <v>288</v>
      </c>
    </row>
    <row r="3" spans="1:16">
      <c r="B3" t="s">
        <v>278</v>
      </c>
      <c r="C3" s="206">
        <f>E3/3.6</f>
        <v>13.888888888888889</v>
      </c>
      <c r="D3" t="s">
        <v>284</v>
      </c>
      <c r="E3" s="145">
        <v>50</v>
      </c>
      <c r="F3" t="s">
        <v>285</v>
      </c>
      <c r="I3" t="s">
        <v>280</v>
      </c>
      <c r="J3" t="s">
        <v>282</v>
      </c>
      <c r="M3" t="s">
        <v>289</v>
      </c>
    </row>
    <row r="4" spans="1:16">
      <c r="B4" t="s">
        <v>210</v>
      </c>
      <c r="C4" s="145">
        <v>0.1</v>
      </c>
      <c r="D4" t="s">
        <v>34</v>
      </c>
    </row>
    <row r="5" spans="1:16">
      <c r="B5" t="s">
        <v>286</v>
      </c>
      <c r="C5" s="145">
        <v>0.25</v>
      </c>
      <c r="D5" t="s">
        <v>35</v>
      </c>
      <c r="I5" t="s">
        <v>444</v>
      </c>
      <c r="J5" s="147">
        <f>1/(1+C5*C4)</f>
        <v>0.97560975609756106</v>
      </c>
      <c r="M5" t="s">
        <v>291</v>
      </c>
      <c r="N5" t="s">
        <v>273</v>
      </c>
      <c r="O5" s="154">
        <v>550</v>
      </c>
      <c r="P5" t="s">
        <v>292</v>
      </c>
    </row>
    <row r="6" spans="1:16">
      <c r="B6" t="s">
        <v>293</v>
      </c>
      <c r="C6" s="145">
        <v>0.25</v>
      </c>
      <c r="D6">
        <v>0.25</v>
      </c>
      <c r="E6" s="145">
        <v>0.1</v>
      </c>
      <c r="J6" s="147"/>
      <c r="N6" t="s">
        <v>261</v>
      </c>
      <c r="O6" s="154">
        <v>0</v>
      </c>
      <c r="P6" t="s">
        <v>304</v>
      </c>
    </row>
    <row r="7" spans="1:16">
      <c r="B7" t="s">
        <v>296</v>
      </c>
      <c r="C7" s="145">
        <v>50</v>
      </c>
      <c r="D7" t="s">
        <v>185</v>
      </c>
      <c r="J7" s="147"/>
    </row>
    <row r="8" spans="1:16">
      <c r="B8" t="s">
        <v>300</v>
      </c>
      <c r="C8" s="131">
        <v>20</v>
      </c>
      <c r="D8" t="s">
        <v>301</v>
      </c>
      <c r="E8" s="145">
        <v>20</v>
      </c>
      <c r="F8" t="s">
        <v>285</v>
      </c>
    </row>
    <row r="9" spans="1:16">
      <c r="B9" t="s">
        <v>303</v>
      </c>
      <c r="C9" s="145">
        <v>50</v>
      </c>
      <c r="D9" t="s">
        <v>185</v>
      </c>
      <c r="E9" s="131"/>
    </row>
    <row r="10" spans="1:16" s="131" customFormat="1">
      <c r="L10"/>
    </row>
    <row r="11" spans="1:16">
      <c r="A11" t="s">
        <v>17</v>
      </c>
      <c r="B11" s="148" t="s">
        <v>306</v>
      </c>
      <c r="C11" t="s">
        <v>311</v>
      </c>
      <c r="D11" s="157" t="s">
        <v>312</v>
      </c>
      <c r="E11" t="s">
        <v>295</v>
      </c>
      <c r="F11" s="64" t="s">
        <v>294</v>
      </c>
      <c r="G11" s="64" t="s">
        <v>310</v>
      </c>
      <c r="H11" s="158" t="s">
        <v>297</v>
      </c>
      <c r="I11" s="158" t="s">
        <v>302</v>
      </c>
      <c r="J11" s="141" t="s">
        <v>298</v>
      </c>
      <c r="K11" s="64" t="s">
        <v>308</v>
      </c>
      <c r="L11" s="132" t="s">
        <v>307</v>
      </c>
      <c r="M11" s="64" t="s">
        <v>309</v>
      </c>
      <c r="N11" s="132" t="s">
        <v>299</v>
      </c>
      <c r="O11" s="64" t="s">
        <v>305</v>
      </c>
    </row>
    <row r="12" spans="1:16">
      <c r="A12" s="148">
        <v>-1</v>
      </c>
      <c r="B12" s="148"/>
      <c r="C12" s="144"/>
      <c r="D12" s="156">
        <v>0</v>
      </c>
      <c r="E12" s="156">
        <v>22</v>
      </c>
      <c r="F12" s="156">
        <v>22</v>
      </c>
      <c r="G12" s="144">
        <f>$F$12+H12</f>
        <v>22</v>
      </c>
      <c r="H12" s="156">
        <v>0</v>
      </c>
      <c r="I12" s="156">
        <f>$C$9</f>
        <v>50</v>
      </c>
      <c r="J12" s="144"/>
      <c r="K12" s="103"/>
      <c r="L12" s="156">
        <v>0</v>
      </c>
      <c r="M12" s="103"/>
      <c r="N12" s="103"/>
      <c r="O12" s="148">
        <v>0</v>
      </c>
    </row>
    <row r="13" spans="1:16">
      <c r="A13" s="64">
        <v>0</v>
      </c>
      <c r="B13" s="159">
        <f t="shared" ref="B13:B76" si="0">$C$2 +O12</f>
        <v>20000</v>
      </c>
      <c r="C13" s="103">
        <f>B13-$O$5*F12</f>
        <v>7900</v>
      </c>
      <c r="D13" s="144">
        <v>0</v>
      </c>
      <c r="E13" s="103">
        <f>($C$2*$C$4/$C$1-D13*$C$4/$C$1+E12)*$J$5</f>
        <v>23.414634146341466</v>
      </c>
      <c r="F13" s="103">
        <f>(C13*$C$4/$C$1-D13*$C$4/$C$1+F12)*$J$5</f>
        <v>22.234146341463415</v>
      </c>
      <c r="G13" s="144">
        <f>$F$12+H13</f>
        <v>22</v>
      </c>
      <c r="H13" s="103">
        <v>0</v>
      </c>
      <c r="I13" s="156">
        <f t="shared" ref="I13:I76" si="1">$C$9</f>
        <v>50</v>
      </c>
      <c r="J13" s="103">
        <f>F13+H13</f>
        <v>22.234146341463415</v>
      </c>
      <c r="K13" s="103">
        <f>G13-F13</f>
        <v>-0.23414634146341484</v>
      </c>
      <c r="L13" s="103">
        <f>K13*$C$4+L12</f>
        <v>-2.3414634146341484E-2</v>
      </c>
      <c r="M13" s="103">
        <f t="shared" ref="M13:M76" si="2">L13+I13</f>
        <v>49.976585365853659</v>
      </c>
      <c r="N13" s="103">
        <f t="shared" ref="N13:N76" si="3">M13-$C$7</f>
        <v>-2.3414634146341484E-2</v>
      </c>
      <c r="O13" s="117">
        <f t="shared" ref="O13:O77" si="4">N13*$O$6</f>
        <v>0</v>
      </c>
    </row>
    <row r="14" spans="1:16">
      <c r="A14" s="64">
        <v>1</v>
      </c>
      <c r="B14" s="159">
        <f t="shared" si="0"/>
        <v>20000</v>
      </c>
      <c r="C14" s="103">
        <f t="shared" ref="C14:C76" si="5">B14-$O$5*F13</f>
        <v>7771.2195121951227</v>
      </c>
      <c r="D14" s="144">
        <v>0</v>
      </c>
      <c r="E14" s="103">
        <f t="shared" ref="E14:E77" si="6">($C$2*$C$4/$C$1-D14*$C$4/$C$1+E13)*$J$5</f>
        <v>24.794765020820947</v>
      </c>
      <c r="F14" s="103">
        <f t="shared" ref="F14:F77" si="7">(C14*$C$4/$C$1-D14*$C$4/$C$1+F13)*$J$5</f>
        <v>22.45001784651993</v>
      </c>
      <c r="G14" s="144">
        <f t="shared" ref="G14:G77" si="8">$F$12+H14</f>
        <v>22</v>
      </c>
      <c r="H14" s="103">
        <v>0</v>
      </c>
      <c r="I14" s="156">
        <f t="shared" si="1"/>
        <v>50</v>
      </c>
      <c r="J14" s="103">
        <f t="shared" ref="J14:J77" si="9">F14+H14</f>
        <v>22.45001784651993</v>
      </c>
      <c r="K14" s="103">
        <f t="shared" ref="K14:K77" si="10">G14-F14</f>
        <v>-0.45001784651993049</v>
      </c>
      <c r="L14" s="103">
        <f>K14*$C$4+L13</f>
        <v>-6.8416418798334544E-2</v>
      </c>
      <c r="M14" s="103">
        <f t="shared" si="2"/>
        <v>49.931583581201664</v>
      </c>
      <c r="N14" s="103">
        <f t="shared" si="3"/>
        <v>-6.8416418798335599E-2</v>
      </c>
      <c r="O14" s="117">
        <f t="shared" si="4"/>
        <v>0</v>
      </c>
    </row>
    <row r="15" spans="1:16">
      <c r="A15" s="64">
        <v>2</v>
      </c>
      <c r="B15" s="159">
        <f t="shared" si="0"/>
        <v>20000</v>
      </c>
      <c r="C15" s="103">
        <f t="shared" si="5"/>
        <v>7652.4901844140386</v>
      </c>
      <c r="D15" s="144">
        <v>0</v>
      </c>
      <c r="E15" s="103">
        <f t="shared" si="6"/>
        <v>26.141234166654584</v>
      </c>
      <c r="F15" s="103">
        <f t="shared" si="7"/>
        <v>22.649040843864721</v>
      </c>
      <c r="G15" s="144">
        <f t="shared" si="8"/>
        <v>22</v>
      </c>
      <c r="H15" s="103">
        <v>0</v>
      </c>
      <c r="I15" s="156">
        <f t="shared" si="1"/>
        <v>50</v>
      </c>
      <c r="J15" s="103">
        <f t="shared" si="9"/>
        <v>22.649040843864721</v>
      </c>
      <c r="K15" s="103">
        <f t="shared" si="10"/>
        <v>-0.6490408438647215</v>
      </c>
      <c r="L15" s="103">
        <f t="shared" ref="L15:L77" si="11">K15*$C$4+L14</f>
        <v>-0.1333205031848067</v>
      </c>
      <c r="M15" s="103">
        <f t="shared" si="2"/>
        <v>49.866679496815195</v>
      </c>
      <c r="N15" s="103">
        <f t="shared" si="3"/>
        <v>-0.13332050318480526</v>
      </c>
      <c r="O15" s="117">
        <f t="shared" si="4"/>
        <v>0</v>
      </c>
    </row>
    <row r="16" spans="1:16">
      <c r="A16" s="64">
        <v>3</v>
      </c>
      <c r="B16" s="159">
        <f t="shared" si="0"/>
        <v>20000</v>
      </c>
      <c r="C16" s="103">
        <f t="shared" si="5"/>
        <v>7543.0275358744038</v>
      </c>
      <c r="D16" s="144">
        <v>0</v>
      </c>
      <c r="E16" s="103">
        <f t="shared" si="6"/>
        <v>27.454862601614231</v>
      </c>
      <c r="F16" s="103">
        <f t="shared" si="7"/>
        <v>22.832530338977719</v>
      </c>
      <c r="G16" s="144">
        <f t="shared" si="8"/>
        <v>22</v>
      </c>
      <c r="H16" s="103">
        <v>0</v>
      </c>
      <c r="I16" s="156">
        <f t="shared" si="1"/>
        <v>50</v>
      </c>
      <c r="J16" s="103">
        <f t="shared" si="9"/>
        <v>22.832530338977719</v>
      </c>
      <c r="K16" s="103">
        <f t="shared" si="10"/>
        <v>-0.832530338977719</v>
      </c>
      <c r="L16" s="103">
        <f t="shared" si="11"/>
        <v>-0.21657353708257859</v>
      </c>
      <c r="M16" s="103">
        <f t="shared" si="2"/>
        <v>49.783426462917419</v>
      </c>
      <c r="N16" s="103">
        <f t="shared" si="3"/>
        <v>-0.21657353708258142</v>
      </c>
      <c r="O16" s="117">
        <f t="shared" si="4"/>
        <v>0</v>
      </c>
    </row>
    <row r="17" spans="1:15">
      <c r="A17" s="64">
        <v>4</v>
      </c>
      <c r="B17" s="159">
        <f t="shared" si="0"/>
        <v>20000</v>
      </c>
      <c r="C17" s="103">
        <f t="shared" si="5"/>
        <v>7442.1083135622539</v>
      </c>
      <c r="D17" s="144">
        <v>0</v>
      </c>
      <c r="E17" s="103">
        <f t="shared" si="6"/>
        <v>28.736451318648033</v>
      </c>
      <c r="F17" s="103">
        <f t="shared" si="7"/>
        <v>23.001698702764827</v>
      </c>
      <c r="G17" s="144">
        <f t="shared" si="8"/>
        <v>22</v>
      </c>
      <c r="H17" s="103">
        <v>0</v>
      </c>
      <c r="I17" s="156">
        <f t="shared" si="1"/>
        <v>50</v>
      </c>
      <c r="J17" s="103">
        <f t="shared" si="9"/>
        <v>23.001698702764827</v>
      </c>
      <c r="K17" s="103">
        <f t="shared" si="10"/>
        <v>-1.001698702764827</v>
      </c>
      <c r="L17" s="103">
        <f t="shared" si="11"/>
        <v>-0.31674340735906131</v>
      </c>
      <c r="M17" s="103">
        <f t="shared" si="2"/>
        <v>49.683256592640937</v>
      </c>
      <c r="N17" s="103">
        <f t="shared" si="3"/>
        <v>-0.3167434073590627</v>
      </c>
      <c r="O17" s="117">
        <f t="shared" si="4"/>
        <v>0</v>
      </c>
    </row>
    <row r="18" spans="1:15">
      <c r="A18" s="64">
        <v>5</v>
      </c>
      <c r="B18" s="159">
        <f t="shared" si="0"/>
        <v>20000</v>
      </c>
      <c r="C18" s="103">
        <f t="shared" si="5"/>
        <v>7349.0657134793455</v>
      </c>
      <c r="D18" s="144">
        <v>0</v>
      </c>
      <c r="E18" s="103">
        <f t="shared" si="6"/>
        <v>29.986781774290765</v>
      </c>
      <c r="F18" s="103">
        <f t="shared" si="7"/>
        <v>23.157663682061234</v>
      </c>
      <c r="G18" s="144">
        <f t="shared" si="8"/>
        <v>22</v>
      </c>
      <c r="H18" s="103">
        <v>0</v>
      </c>
      <c r="I18" s="156">
        <f t="shared" si="1"/>
        <v>50</v>
      </c>
      <c r="J18" s="103">
        <f t="shared" si="9"/>
        <v>23.157663682061234</v>
      </c>
      <c r="K18" s="103">
        <f t="shared" si="10"/>
        <v>-1.1576636820612336</v>
      </c>
      <c r="L18" s="103">
        <f t="shared" si="11"/>
        <v>-0.43250977556518466</v>
      </c>
      <c r="M18" s="103">
        <f t="shared" si="2"/>
        <v>49.567490224434813</v>
      </c>
      <c r="N18" s="103">
        <f t="shared" si="3"/>
        <v>-0.43250977556518677</v>
      </c>
      <c r="O18" s="117">
        <f t="shared" si="4"/>
        <v>0</v>
      </c>
    </row>
    <row r="19" spans="1:15">
      <c r="A19" s="64">
        <v>6</v>
      </c>
      <c r="B19" s="159">
        <f t="shared" si="0"/>
        <v>20000</v>
      </c>
      <c r="C19" s="103">
        <f t="shared" si="5"/>
        <v>7263.2849748663211</v>
      </c>
      <c r="D19" s="144">
        <v>0</v>
      </c>
      <c r="E19" s="103">
        <f t="shared" si="6"/>
        <v>31.206616365161725</v>
      </c>
      <c r="F19" s="103">
        <f t="shared" si="7"/>
        <v>23.301455784924752</v>
      </c>
      <c r="G19" s="144">
        <f t="shared" si="8"/>
        <v>22</v>
      </c>
      <c r="H19" s="103">
        <v>0</v>
      </c>
      <c r="I19" s="156">
        <f t="shared" si="1"/>
        <v>50</v>
      </c>
      <c r="J19" s="103">
        <f t="shared" si="9"/>
        <v>23.301455784924752</v>
      </c>
      <c r="K19" s="103">
        <f t="shared" si="10"/>
        <v>-1.3014557849247517</v>
      </c>
      <c r="L19" s="103">
        <f t="shared" si="11"/>
        <v>-0.56265535405765987</v>
      </c>
      <c r="M19" s="103">
        <f t="shared" si="2"/>
        <v>49.437344645942339</v>
      </c>
      <c r="N19" s="103">
        <f t="shared" si="3"/>
        <v>-0.56265535405766087</v>
      </c>
      <c r="O19" s="117">
        <f t="shared" si="4"/>
        <v>0</v>
      </c>
    </row>
    <row r="20" spans="1:15">
      <c r="A20" s="64">
        <v>7</v>
      </c>
      <c r="B20" s="159">
        <f t="shared" si="0"/>
        <v>20000</v>
      </c>
      <c r="C20" s="103">
        <f t="shared" si="5"/>
        <v>7184.1993182913866</v>
      </c>
      <c r="D20" s="144">
        <v>0</v>
      </c>
      <c r="E20" s="103">
        <f t="shared" si="6"/>
        <v>32.39669889284071</v>
      </c>
      <c r="F20" s="103">
        <f t="shared" si="7"/>
        <v>23.434025089515995</v>
      </c>
      <c r="G20" s="144">
        <f t="shared" si="8"/>
        <v>22</v>
      </c>
      <c r="H20" s="103">
        <v>0</v>
      </c>
      <c r="I20" s="156">
        <f t="shared" si="1"/>
        <v>50</v>
      </c>
      <c r="J20" s="103">
        <f t="shared" si="9"/>
        <v>23.434025089515995</v>
      </c>
      <c r="K20" s="103">
        <f t="shared" si="10"/>
        <v>-1.4340250895159947</v>
      </c>
      <c r="L20" s="103">
        <f t="shared" si="11"/>
        <v>-0.70605786300925932</v>
      </c>
      <c r="M20" s="103">
        <f t="shared" si="2"/>
        <v>49.293942136990744</v>
      </c>
      <c r="N20" s="103">
        <f t="shared" si="3"/>
        <v>-0.70605786300925644</v>
      </c>
      <c r="O20" s="117">
        <f t="shared" si="4"/>
        <v>0</v>
      </c>
    </row>
    <row r="21" spans="1:15">
      <c r="A21" s="64">
        <v>8</v>
      </c>
      <c r="B21" s="159">
        <f t="shared" si="0"/>
        <v>20000</v>
      </c>
      <c r="C21" s="103">
        <f t="shared" si="5"/>
        <v>7111.2862007662025</v>
      </c>
      <c r="D21" s="144">
        <v>0</v>
      </c>
      <c r="E21" s="103">
        <f t="shared" si="6"/>
        <v>33.557755017405576</v>
      </c>
      <c r="F21" s="103">
        <f t="shared" si="7"/>
        <v>23.556247521553775</v>
      </c>
      <c r="G21" s="144">
        <f t="shared" si="8"/>
        <v>22</v>
      </c>
      <c r="H21" s="103">
        <v>0</v>
      </c>
      <c r="I21" s="156">
        <f t="shared" si="1"/>
        <v>50</v>
      </c>
      <c r="J21" s="103">
        <f t="shared" si="9"/>
        <v>23.556247521553775</v>
      </c>
      <c r="K21" s="103">
        <f t="shared" si="10"/>
        <v>-1.5562475215537752</v>
      </c>
      <c r="L21" s="103">
        <f t="shared" si="11"/>
        <v>-0.86168261516463684</v>
      </c>
      <c r="M21" s="103">
        <f t="shared" si="2"/>
        <v>49.138317384835361</v>
      </c>
      <c r="N21" s="103">
        <f t="shared" si="3"/>
        <v>-0.86168261516463929</v>
      </c>
      <c r="O21" s="117">
        <f t="shared" si="4"/>
        <v>0</v>
      </c>
    </row>
    <row r="22" spans="1:15">
      <c r="A22" s="64">
        <v>9</v>
      </c>
      <c r="B22" s="159">
        <f t="shared" si="0"/>
        <v>20000</v>
      </c>
      <c r="C22" s="103">
        <f t="shared" si="5"/>
        <v>7044.063863145424</v>
      </c>
      <c r="D22" s="144">
        <v>0</v>
      </c>
      <c r="E22" s="103">
        <f t="shared" si="6"/>
        <v>34.690492699907885</v>
      </c>
      <c r="F22" s="103">
        <f t="shared" si="7"/>
        <v>23.668930641822751</v>
      </c>
      <c r="G22" s="144">
        <f t="shared" si="8"/>
        <v>22</v>
      </c>
      <c r="H22" s="103">
        <v>0</v>
      </c>
      <c r="I22" s="156">
        <f t="shared" si="1"/>
        <v>50</v>
      </c>
      <c r="J22" s="103">
        <f t="shared" si="9"/>
        <v>23.668930641822751</v>
      </c>
      <c r="K22" s="103">
        <f t="shared" si="10"/>
        <v>-1.668930641822751</v>
      </c>
      <c r="L22" s="103">
        <f t="shared" si="11"/>
        <v>-1.0285756793469121</v>
      </c>
      <c r="M22" s="103">
        <f t="shared" si="2"/>
        <v>48.971424320653085</v>
      </c>
      <c r="N22" s="103">
        <f t="shared" si="3"/>
        <v>-1.0285756793469147</v>
      </c>
      <c r="O22" s="117">
        <f t="shared" si="4"/>
        <v>0</v>
      </c>
    </row>
    <row r="23" spans="1:15">
      <c r="A23" s="64">
        <v>10</v>
      </c>
      <c r="B23" s="159">
        <f t="shared" si="0"/>
        <v>20000</v>
      </c>
      <c r="C23" s="103">
        <f t="shared" si="5"/>
        <v>6982.0881469974865</v>
      </c>
      <c r="D23" s="144">
        <v>0</v>
      </c>
      <c r="E23" s="103">
        <f t="shared" si="6"/>
        <v>35.795602634056479</v>
      </c>
      <c r="F23" s="103">
        <f t="shared" si="7"/>
        <v>23.772818981973174</v>
      </c>
      <c r="G23" s="144">
        <f t="shared" si="8"/>
        <v>22</v>
      </c>
      <c r="H23" s="103">
        <v>0</v>
      </c>
      <c r="I23" s="156">
        <f t="shared" si="1"/>
        <v>50</v>
      </c>
      <c r="J23" s="103">
        <f t="shared" si="9"/>
        <v>23.772818981973174</v>
      </c>
      <c r="K23" s="103">
        <f t="shared" si="10"/>
        <v>-1.7728189819731739</v>
      </c>
      <c r="L23" s="103">
        <f t="shared" si="11"/>
        <v>-1.2058575775442295</v>
      </c>
      <c r="M23" s="103">
        <f t="shared" si="2"/>
        <v>48.794142422455771</v>
      </c>
      <c r="N23" s="103">
        <f t="shared" si="3"/>
        <v>-1.2058575775442293</v>
      </c>
      <c r="O23" s="117">
        <f t="shared" si="4"/>
        <v>0</v>
      </c>
    </row>
    <row r="24" spans="1:15">
      <c r="A24" s="64">
        <v>11</v>
      </c>
      <c r="B24" s="159">
        <f t="shared" si="0"/>
        <v>20000</v>
      </c>
      <c r="C24" s="103">
        <f t="shared" si="5"/>
        <v>6924.949559914754</v>
      </c>
      <c r="D24" s="144">
        <v>0</v>
      </c>
      <c r="E24" s="103">
        <f t="shared" si="6"/>
        <v>36.873758667372179</v>
      </c>
      <c r="F24" s="103">
        <f t="shared" si="7"/>
        <v>23.868598963867953</v>
      </c>
      <c r="G24" s="144">
        <f t="shared" si="8"/>
        <v>22</v>
      </c>
      <c r="H24" s="103">
        <v>0</v>
      </c>
      <c r="I24" s="156">
        <f t="shared" si="1"/>
        <v>50</v>
      </c>
      <c r="J24" s="103">
        <f t="shared" si="9"/>
        <v>23.868598963867953</v>
      </c>
      <c r="K24" s="103">
        <f t="shared" si="10"/>
        <v>-1.868598963867953</v>
      </c>
      <c r="L24" s="103">
        <f t="shared" si="11"/>
        <v>-1.3927174739310249</v>
      </c>
      <c r="M24" s="103">
        <f t="shared" si="2"/>
        <v>48.607282526068978</v>
      </c>
      <c r="N24" s="103">
        <f t="shared" si="3"/>
        <v>-1.3927174739310217</v>
      </c>
      <c r="O24" s="117">
        <f t="shared" si="4"/>
        <v>0</v>
      </c>
    </row>
    <row r="25" spans="1:15">
      <c r="A25" s="64">
        <v>12</v>
      </c>
      <c r="B25" s="159">
        <f t="shared" si="0"/>
        <v>20000</v>
      </c>
      <c r="C25" s="103">
        <f t="shared" si="5"/>
        <v>6872.2705698726259</v>
      </c>
      <c r="D25" s="144">
        <v>0</v>
      </c>
      <c r="E25" s="103">
        <f t="shared" si="6"/>
        <v>37.925618212070425</v>
      </c>
      <c r="F25" s="103">
        <f t="shared" si="7"/>
        <v>23.956903434980699</v>
      </c>
      <c r="G25" s="144">
        <f t="shared" si="8"/>
        <v>22</v>
      </c>
      <c r="H25" s="103">
        <v>0</v>
      </c>
      <c r="I25" s="156">
        <f t="shared" si="1"/>
        <v>50</v>
      </c>
      <c r="J25" s="103">
        <f t="shared" si="9"/>
        <v>23.956903434980699</v>
      </c>
      <c r="K25" s="103">
        <f t="shared" si="10"/>
        <v>-1.9569034349806991</v>
      </c>
      <c r="L25" s="103">
        <f t="shared" si="11"/>
        <v>-1.5884078174290948</v>
      </c>
      <c r="M25" s="103">
        <f t="shared" si="2"/>
        <v>48.411592182570907</v>
      </c>
      <c r="N25" s="103">
        <f t="shared" si="3"/>
        <v>-1.5884078174290934</v>
      </c>
      <c r="O25" s="117">
        <f t="shared" si="4"/>
        <v>0</v>
      </c>
    </row>
    <row r="26" spans="1:15">
      <c r="A26" s="64">
        <v>13</v>
      </c>
      <c r="B26" s="159">
        <f t="shared" si="0"/>
        <v>20000</v>
      </c>
      <c r="C26" s="103">
        <f t="shared" si="5"/>
        <v>6823.7031107606163</v>
      </c>
      <c r="D26" s="144">
        <v>0</v>
      </c>
      <c r="E26" s="103">
        <f t="shared" si="6"/>
        <v>38.95182264592237</v>
      </c>
      <c r="F26" s="103">
        <f t="shared" si="7"/>
        <v>24.038315849811479</v>
      </c>
      <c r="G26" s="144">
        <f t="shared" si="8"/>
        <v>22</v>
      </c>
      <c r="H26" s="103">
        <v>0</v>
      </c>
      <c r="I26" s="156">
        <f t="shared" si="1"/>
        <v>50</v>
      </c>
      <c r="J26" s="103">
        <f t="shared" si="9"/>
        <v>24.038315849811479</v>
      </c>
      <c r="K26" s="103">
        <f t="shared" si="10"/>
        <v>-2.0383158498114788</v>
      </c>
      <c r="L26" s="103">
        <f t="shared" si="11"/>
        <v>-1.7922394024102426</v>
      </c>
      <c r="M26" s="103">
        <f t="shared" si="2"/>
        <v>48.207760597589754</v>
      </c>
      <c r="N26" s="103">
        <f t="shared" si="3"/>
        <v>-1.7922394024102459</v>
      </c>
      <c r="O26" s="117">
        <f t="shared" si="4"/>
        <v>0</v>
      </c>
    </row>
    <row r="27" spans="1:15">
      <c r="A27" s="64">
        <v>14</v>
      </c>
      <c r="B27" s="159">
        <f t="shared" si="0"/>
        <v>20000</v>
      </c>
      <c r="C27" s="103">
        <f t="shared" si="5"/>
        <v>6778.9262826036866</v>
      </c>
      <c r="D27" s="144">
        <v>0</v>
      </c>
      <c r="E27" s="103">
        <f t="shared" si="6"/>
        <v>39.952997703338902</v>
      </c>
      <c r="F27" s="103">
        <f t="shared" si="7"/>
        <v>24.113374124948148</v>
      </c>
      <c r="G27" s="144">
        <f t="shared" si="8"/>
        <v>22</v>
      </c>
      <c r="H27" s="103">
        <v>0</v>
      </c>
      <c r="I27" s="156">
        <f t="shared" si="1"/>
        <v>50</v>
      </c>
      <c r="J27" s="103">
        <f t="shared" si="9"/>
        <v>24.113374124948148</v>
      </c>
      <c r="K27" s="103">
        <f t="shared" si="10"/>
        <v>-2.1133741249481481</v>
      </c>
      <c r="L27" s="103">
        <f t="shared" si="11"/>
        <v>-2.0035768149050575</v>
      </c>
      <c r="M27" s="103">
        <f t="shared" si="2"/>
        <v>47.99642318509494</v>
      </c>
      <c r="N27" s="103">
        <f t="shared" si="3"/>
        <v>-2.0035768149050597</v>
      </c>
      <c r="O27" s="117">
        <f t="shared" si="4"/>
        <v>0</v>
      </c>
    </row>
    <row r="28" spans="1:15">
      <c r="A28" s="64">
        <v>15</v>
      </c>
      <c r="B28" s="159">
        <f t="shared" si="0"/>
        <v>20000</v>
      </c>
      <c r="C28" s="103">
        <f t="shared" si="5"/>
        <v>6737.6442312785184</v>
      </c>
      <c r="D28" s="144">
        <v>0</v>
      </c>
      <c r="E28" s="103">
        <f t="shared" si="6"/>
        <v>40.929753856916008</v>
      </c>
      <c r="F28" s="103">
        <f t="shared" si="7"/>
        <v>24.182574193244882</v>
      </c>
      <c r="G28" s="144">
        <f t="shared" si="8"/>
        <v>22</v>
      </c>
      <c r="H28" s="103">
        <v>0</v>
      </c>
      <c r="I28" s="156">
        <f t="shared" si="1"/>
        <v>50</v>
      </c>
      <c r="J28" s="103">
        <f t="shared" si="9"/>
        <v>24.182574193244882</v>
      </c>
      <c r="K28" s="103">
        <f t="shared" si="10"/>
        <v>-2.1825741932448821</v>
      </c>
      <c r="L28" s="103">
        <f t="shared" si="11"/>
        <v>-2.2218342342295458</v>
      </c>
      <c r="M28" s="103">
        <f t="shared" si="2"/>
        <v>47.778165765770453</v>
      </c>
      <c r="N28" s="103">
        <f t="shared" si="3"/>
        <v>-2.2218342342295472</v>
      </c>
      <c r="O28" s="117">
        <f t="shared" si="4"/>
        <v>0</v>
      </c>
    </row>
    <row r="29" spans="1:15">
      <c r="A29" s="64">
        <v>16</v>
      </c>
      <c r="B29" s="159">
        <f t="shared" si="0"/>
        <v>20000</v>
      </c>
      <c r="C29" s="103">
        <f t="shared" si="5"/>
        <v>6699.5841937153145</v>
      </c>
      <c r="D29" s="144">
        <v>0</v>
      </c>
      <c r="E29" s="103">
        <f t="shared" si="6"/>
        <v>41.882686689674159</v>
      </c>
      <c r="F29" s="103">
        <f t="shared" si="7"/>
        <v>24.246373280601382</v>
      </c>
      <c r="G29" s="144">
        <f t="shared" si="8"/>
        <v>22</v>
      </c>
      <c r="H29" s="103">
        <v>0</v>
      </c>
      <c r="I29" s="156">
        <f t="shared" si="1"/>
        <v>50</v>
      </c>
      <c r="J29" s="103">
        <f t="shared" si="9"/>
        <v>24.246373280601382</v>
      </c>
      <c r="K29" s="103">
        <f t="shared" si="10"/>
        <v>-2.2463732806013823</v>
      </c>
      <c r="L29" s="103">
        <f t="shared" si="11"/>
        <v>-2.446471562289684</v>
      </c>
      <c r="M29" s="103">
        <f t="shared" si="2"/>
        <v>47.553528437710312</v>
      </c>
      <c r="N29" s="103">
        <f t="shared" si="3"/>
        <v>-2.4464715622896875</v>
      </c>
      <c r="O29" s="117">
        <f t="shared" si="4"/>
        <v>0</v>
      </c>
    </row>
    <row r="30" spans="1:15">
      <c r="A30" s="64">
        <v>17</v>
      </c>
      <c r="B30" s="159">
        <f t="shared" si="0"/>
        <v>20000</v>
      </c>
      <c r="C30" s="103">
        <f t="shared" si="5"/>
        <v>6664.4946956692402</v>
      </c>
      <c r="D30" s="144">
        <v>0</v>
      </c>
      <c r="E30" s="103">
        <f t="shared" si="6"/>
        <v>42.812377258218696</v>
      </c>
      <c r="F30" s="103">
        <f t="shared" si="7"/>
        <v>24.30519292699347</v>
      </c>
      <c r="G30" s="144">
        <f t="shared" si="8"/>
        <v>22</v>
      </c>
      <c r="H30" s="103">
        <v>0</v>
      </c>
      <c r="I30" s="156">
        <f t="shared" si="1"/>
        <v>50</v>
      </c>
      <c r="J30" s="103">
        <f t="shared" si="9"/>
        <v>24.30519292699347</v>
      </c>
      <c r="K30" s="103">
        <f t="shared" si="10"/>
        <v>-2.3051929269934703</v>
      </c>
      <c r="L30" s="103">
        <f t="shared" si="11"/>
        <v>-2.6769908549890311</v>
      </c>
      <c r="M30" s="103">
        <f t="shared" si="2"/>
        <v>47.323009145010971</v>
      </c>
      <c r="N30" s="103">
        <f t="shared" si="3"/>
        <v>-2.6769908549890289</v>
      </c>
      <c r="O30" s="117">
        <f t="shared" si="4"/>
        <v>0</v>
      </c>
    </row>
    <row r="31" spans="1:15">
      <c r="A31" s="64">
        <v>18</v>
      </c>
      <c r="B31" s="159">
        <f t="shared" si="0"/>
        <v>20000</v>
      </c>
      <c r="C31" s="103">
        <f t="shared" si="5"/>
        <v>6632.1438901535912</v>
      </c>
      <c r="D31" s="144">
        <v>0</v>
      </c>
      <c r="E31" s="103">
        <f t="shared" si="6"/>
        <v>43.719392447042637</v>
      </c>
      <c r="F31" s="103">
        <f t="shared" si="7"/>
        <v>24.359421771715933</v>
      </c>
      <c r="G31" s="144">
        <f t="shared" si="8"/>
        <v>22</v>
      </c>
      <c r="H31" s="103">
        <v>0</v>
      </c>
      <c r="I31" s="156">
        <f t="shared" si="1"/>
        <v>50</v>
      </c>
      <c r="J31" s="103">
        <f t="shared" si="9"/>
        <v>24.359421771715933</v>
      </c>
      <c r="K31" s="103">
        <f t="shared" si="10"/>
        <v>-2.3594217717159331</v>
      </c>
      <c r="L31" s="103">
        <f t="shared" si="11"/>
        <v>-2.9129330321606246</v>
      </c>
      <c r="M31" s="103">
        <f t="shared" si="2"/>
        <v>47.087066967839377</v>
      </c>
      <c r="N31" s="103">
        <f t="shared" si="3"/>
        <v>-2.9129330321606233</v>
      </c>
      <c r="O31" s="117">
        <f t="shared" si="4"/>
        <v>0</v>
      </c>
    </row>
    <row r="32" spans="1:15">
      <c r="A32" s="64">
        <v>19</v>
      </c>
      <c r="B32" s="159">
        <f t="shared" si="0"/>
        <v>20000</v>
      </c>
      <c r="C32" s="103">
        <f t="shared" si="5"/>
        <v>6602.3180255562365</v>
      </c>
      <c r="D32" s="144">
        <v>0</v>
      </c>
      <c r="E32" s="103">
        <f t="shared" si="6"/>
        <v>44.604285314187941</v>
      </c>
      <c r="F32" s="103">
        <f t="shared" si="7"/>
        <v>24.409418121240545</v>
      </c>
      <c r="G32" s="144">
        <f t="shared" si="8"/>
        <v>22</v>
      </c>
      <c r="H32" s="103">
        <v>0</v>
      </c>
      <c r="I32" s="156">
        <f t="shared" si="1"/>
        <v>50</v>
      </c>
      <c r="J32" s="103">
        <f t="shared" si="9"/>
        <v>24.409418121240545</v>
      </c>
      <c r="K32" s="103">
        <f t="shared" si="10"/>
        <v>-2.4094181212405452</v>
      </c>
      <c r="L32" s="103">
        <f t="shared" si="11"/>
        <v>-3.1538748442846791</v>
      </c>
      <c r="M32" s="103">
        <f t="shared" si="2"/>
        <v>46.84612515571532</v>
      </c>
      <c r="N32" s="103">
        <f t="shared" si="3"/>
        <v>-3.1538748442846796</v>
      </c>
      <c r="O32" s="117">
        <f t="shared" si="4"/>
        <v>0</v>
      </c>
    </row>
    <row r="33" spans="1:15">
      <c r="A33" s="64">
        <v>20</v>
      </c>
      <c r="B33" s="159">
        <f t="shared" si="0"/>
        <v>20000</v>
      </c>
      <c r="C33" s="103">
        <f t="shared" si="5"/>
        <v>6574.820033317701</v>
      </c>
      <c r="D33" s="144">
        <v>0</v>
      </c>
      <c r="E33" s="103">
        <f t="shared" si="6"/>
        <v>45.467595428476045</v>
      </c>
      <c r="F33" s="103">
        <f t="shared" si="7"/>
        <v>24.45551231665592</v>
      </c>
      <c r="G33" s="144">
        <f t="shared" si="8"/>
        <v>22</v>
      </c>
      <c r="H33" s="103">
        <v>0</v>
      </c>
      <c r="I33" s="156">
        <f t="shared" si="1"/>
        <v>50</v>
      </c>
      <c r="J33" s="103">
        <f t="shared" si="9"/>
        <v>24.45551231665592</v>
      </c>
      <c r="K33" s="103">
        <f t="shared" si="10"/>
        <v>-2.4555123166559198</v>
      </c>
      <c r="L33" s="103">
        <f t="shared" si="11"/>
        <v>-3.399426075950271</v>
      </c>
      <c r="M33" s="103">
        <f t="shared" si="2"/>
        <v>46.600573924049726</v>
      </c>
      <c r="N33" s="103">
        <f t="shared" si="3"/>
        <v>-3.3994260759502737</v>
      </c>
      <c r="O33" s="117">
        <f t="shared" si="4"/>
        <v>0</v>
      </c>
    </row>
    <row r="34" spans="1:15">
      <c r="A34" s="64">
        <v>21</v>
      </c>
      <c r="B34" s="159">
        <f t="shared" si="0"/>
        <v>20000</v>
      </c>
      <c r="C34" s="103">
        <f t="shared" si="5"/>
        <v>6549.468225839244</v>
      </c>
      <c r="D34" s="144">
        <v>0</v>
      </c>
      <c r="E34" s="103">
        <f t="shared" si="6"/>
        <v>46.30984919851322</v>
      </c>
      <c r="F34" s="103">
        <f t="shared" si="7"/>
        <v>24.498008916331557</v>
      </c>
      <c r="G34" s="144">
        <f t="shared" si="8"/>
        <v>22</v>
      </c>
      <c r="H34" s="103">
        <v>0</v>
      </c>
      <c r="I34" s="156">
        <f t="shared" si="1"/>
        <v>50</v>
      </c>
      <c r="J34" s="103">
        <f t="shared" si="9"/>
        <v>24.498008916331557</v>
      </c>
      <c r="K34" s="103">
        <f t="shared" si="10"/>
        <v>-2.4980089163315569</v>
      </c>
      <c r="L34" s="103">
        <f t="shared" si="11"/>
        <v>-3.6492269675834268</v>
      </c>
      <c r="M34" s="103">
        <f t="shared" si="2"/>
        <v>46.350773032416576</v>
      </c>
      <c r="N34" s="103">
        <f t="shared" si="3"/>
        <v>-3.6492269675834237</v>
      </c>
      <c r="O34" s="117">
        <f t="shared" si="4"/>
        <v>0</v>
      </c>
    </row>
    <row r="35" spans="1:15">
      <c r="A35" s="64">
        <v>22</v>
      </c>
      <c r="B35" s="159">
        <f t="shared" si="0"/>
        <v>20000</v>
      </c>
      <c r="C35" s="103">
        <f t="shared" si="5"/>
        <v>6526.0950960176433</v>
      </c>
      <c r="D35" s="144">
        <v>0</v>
      </c>
      <c r="E35" s="103">
        <f t="shared" si="6"/>
        <v>47.13156019367144</v>
      </c>
      <c r="F35" s="103">
        <f t="shared" si="7"/>
        <v>24.537188708227632</v>
      </c>
      <c r="G35" s="144">
        <f t="shared" si="8"/>
        <v>22</v>
      </c>
      <c r="H35" s="103">
        <v>0</v>
      </c>
      <c r="I35" s="156">
        <f t="shared" si="1"/>
        <v>50</v>
      </c>
      <c r="J35" s="103">
        <f t="shared" si="9"/>
        <v>24.537188708227632</v>
      </c>
      <c r="K35" s="103">
        <f t="shared" si="10"/>
        <v>-2.5371887082276317</v>
      </c>
      <c r="L35" s="103">
        <f t="shared" si="11"/>
        <v>-3.9029458384061901</v>
      </c>
      <c r="M35" s="103">
        <f t="shared" si="2"/>
        <v>46.09705416159381</v>
      </c>
      <c r="N35" s="103">
        <f t="shared" si="3"/>
        <v>-3.9029458384061897</v>
      </c>
      <c r="O35" s="117">
        <f t="shared" si="4"/>
        <v>0</v>
      </c>
    </row>
    <row r="36" spans="1:15">
      <c r="A36" s="64">
        <v>23</v>
      </c>
      <c r="B36" s="159">
        <f t="shared" si="0"/>
        <v>20000</v>
      </c>
      <c r="C36" s="103">
        <f t="shared" si="5"/>
        <v>6504.5462104748021</v>
      </c>
      <c r="D36" s="144">
        <v>0</v>
      </c>
      <c r="E36" s="103">
        <f t="shared" si="6"/>
        <v>47.933229457240436</v>
      </c>
      <c r="F36" s="103">
        <f t="shared" si="7"/>
        <v>24.573310565146453</v>
      </c>
      <c r="G36" s="144">
        <f t="shared" si="8"/>
        <v>22</v>
      </c>
      <c r="H36" s="103">
        <v>0</v>
      </c>
      <c r="I36" s="156">
        <f t="shared" si="1"/>
        <v>50</v>
      </c>
      <c r="J36" s="103">
        <f t="shared" si="9"/>
        <v>24.573310565146453</v>
      </c>
      <c r="K36" s="103">
        <f t="shared" si="10"/>
        <v>-2.5733105651464534</v>
      </c>
      <c r="L36" s="103">
        <f t="shared" si="11"/>
        <v>-4.1602768949208357</v>
      </c>
      <c r="M36" s="103">
        <f t="shared" si="2"/>
        <v>45.839723105079166</v>
      </c>
      <c r="N36" s="103">
        <f t="shared" si="3"/>
        <v>-4.160276894920834</v>
      </c>
      <c r="O36" s="117">
        <f t="shared" si="4"/>
        <v>0</v>
      </c>
    </row>
    <row r="37" spans="1:15">
      <c r="A37" s="64">
        <v>24</v>
      </c>
      <c r="B37" s="159">
        <f t="shared" si="0"/>
        <v>20000</v>
      </c>
      <c r="C37" s="103">
        <f t="shared" si="5"/>
        <v>6484.6791891694502</v>
      </c>
      <c r="D37" s="144">
        <v>0</v>
      </c>
      <c r="E37" s="103">
        <f t="shared" si="6"/>
        <v>48.715345811941894</v>
      </c>
      <c r="F37" s="103">
        <f t="shared" si="7"/>
        <v>24.606613155183808</v>
      </c>
      <c r="G37" s="144">
        <f t="shared" si="8"/>
        <v>22</v>
      </c>
      <c r="H37" s="103">
        <v>0</v>
      </c>
      <c r="I37" s="156">
        <f t="shared" si="1"/>
        <v>50</v>
      </c>
      <c r="J37" s="103">
        <f t="shared" si="9"/>
        <v>24.606613155183808</v>
      </c>
      <c r="K37" s="103">
        <f t="shared" si="10"/>
        <v>-2.6066131551838083</v>
      </c>
      <c r="L37" s="103">
        <f t="shared" si="11"/>
        <v>-4.4209382104392168</v>
      </c>
      <c r="M37" s="103">
        <f t="shared" si="2"/>
        <v>45.579061789560782</v>
      </c>
      <c r="N37" s="103">
        <f t="shared" si="3"/>
        <v>-4.4209382104392176</v>
      </c>
      <c r="O37" s="117">
        <f t="shared" si="4"/>
        <v>0</v>
      </c>
    </row>
    <row r="38" spans="1:15">
      <c r="A38" s="64">
        <v>25</v>
      </c>
      <c r="B38" s="159">
        <f t="shared" si="0"/>
        <v>20000</v>
      </c>
      <c r="C38" s="103">
        <f t="shared" si="5"/>
        <v>6466.3627646489058</v>
      </c>
      <c r="D38" s="144">
        <v>0</v>
      </c>
      <c r="E38" s="103">
        <f t="shared" si="6"/>
        <v>49.478386157992098</v>
      </c>
      <c r="F38" s="103">
        <f t="shared" si="7"/>
        <v>24.637316518681658</v>
      </c>
      <c r="G38" s="144">
        <f t="shared" si="8"/>
        <v>22</v>
      </c>
      <c r="H38" s="103">
        <v>0</v>
      </c>
      <c r="I38" s="156">
        <f t="shared" si="1"/>
        <v>50</v>
      </c>
      <c r="J38" s="103">
        <f t="shared" si="9"/>
        <v>24.637316518681658</v>
      </c>
      <c r="K38" s="103">
        <f t="shared" si="10"/>
        <v>-2.6373165186816578</v>
      </c>
      <c r="L38" s="103">
        <f t="shared" si="11"/>
        <v>-4.6846698623073824</v>
      </c>
      <c r="M38" s="103">
        <f t="shared" si="2"/>
        <v>45.315330137692619</v>
      </c>
      <c r="N38" s="103">
        <f t="shared" si="3"/>
        <v>-4.6846698623073806</v>
      </c>
      <c r="O38" s="117">
        <f t="shared" si="4"/>
        <v>0</v>
      </c>
    </row>
    <row r="39" spans="1:15">
      <c r="A39" s="64">
        <v>26</v>
      </c>
      <c r="B39" s="159">
        <f t="shared" si="0"/>
        <v>20000</v>
      </c>
      <c r="C39" s="103">
        <f t="shared" si="5"/>
        <v>6449.4759147250879</v>
      </c>
      <c r="D39" s="144">
        <v>0</v>
      </c>
      <c r="E39" s="103">
        <f t="shared" si="6"/>
        <v>50.222815763894737</v>
      </c>
      <c r="F39" s="103">
        <f t="shared" si="7"/>
        <v>24.66562352210163</v>
      </c>
      <c r="G39" s="144">
        <f t="shared" si="8"/>
        <v>22</v>
      </c>
      <c r="H39" s="103">
        <v>0</v>
      </c>
      <c r="I39" s="156">
        <f t="shared" si="1"/>
        <v>50</v>
      </c>
      <c r="J39" s="103">
        <f t="shared" si="9"/>
        <v>24.66562352210163</v>
      </c>
      <c r="K39" s="103">
        <f t="shared" si="10"/>
        <v>-2.6656235221016296</v>
      </c>
      <c r="L39" s="103">
        <f t="shared" si="11"/>
        <v>-4.9512322145175451</v>
      </c>
      <c r="M39" s="103">
        <f t="shared" si="2"/>
        <v>45.048767785482454</v>
      </c>
      <c r="N39" s="103">
        <f t="shared" si="3"/>
        <v>-4.951232214517546</v>
      </c>
      <c r="O39" s="117">
        <f t="shared" si="4"/>
        <v>0</v>
      </c>
    </row>
    <row r="40" spans="1:15">
      <c r="A40" s="64">
        <v>27</v>
      </c>
      <c r="B40" s="159">
        <f t="shared" si="0"/>
        <v>20000</v>
      </c>
      <c r="C40" s="103">
        <f t="shared" si="5"/>
        <v>6433.9070628441041</v>
      </c>
      <c r="D40" s="144">
        <v>0</v>
      </c>
      <c r="E40" s="103">
        <f t="shared" si="6"/>
        <v>50.949088550141212</v>
      </c>
      <c r="F40" s="103">
        <f t="shared" si="7"/>
        <v>24.691721198425409</v>
      </c>
      <c r="G40" s="144">
        <f t="shared" si="8"/>
        <v>22</v>
      </c>
      <c r="H40" s="103">
        <v>0</v>
      </c>
      <c r="I40" s="156">
        <f t="shared" si="1"/>
        <v>50</v>
      </c>
      <c r="J40" s="103">
        <f t="shared" si="9"/>
        <v>24.691721198425409</v>
      </c>
      <c r="K40" s="103">
        <f t="shared" si="10"/>
        <v>-2.6917211984254088</v>
      </c>
      <c r="L40" s="103">
        <f t="shared" si="11"/>
        <v>-5.2204043343600857</v>
      </c>
      <c r="M40" s="103">
        <f t="shared" si="2"/>
        <v>44.779595665639917</v>
      </c>
      <c r="N40" s="103">
        <f t="shared" si="3"/>
        <v>-5.220404334360083</v>
      </c>
      <c r="O40" s="117">
        <f t="shared" si="4"/>
        <v>0</v>
      </c>
    </row>
    <row r="41" spans="1:15">
      <c r="A41" s="64">
        <v>28</v>
      </c>
      <c r="B41" s="159">
        <f t="shared" si="0"/>
        <v>20000</v>
      </c>
      <c r="C41" s="103">
        <f t="shared" si="5"/>
        <v>6419.5533408660249</v>
      </c>
      <c r="D41" s="144">
        <v>0</v>
      </c>
      <c r="E41" s="103">
        <f t="shared" si="6"/>
        <v>51.65764736599143</v>
      </c>
      <c r="F41" s="103">
        <f t="shared" si="7"/>
        <v>24.715781982938552</v>
      </c>
      <c r="G41" s="144">
        <f t="shared" si="8"/>
        <v>22</v>
      </c>
      <c r="H41" s="103">
        <v>0</v>
      </c>
      <c r="I41" s="156">
        <f t="shared" si="1"/>
        <v>50</v>
      </c>
      <c r="J41" s="103">
        <f t="shared" si="9"/>
        <v>24.715781982938552</v>
      </c>
      <c r="K41" s="103">
        <f t="shared" si="10"/>
        <v>-2.7157819829385517</v>
      </c>
      <c r="L41" s="103">
        <f t="shared" si="11"/>
        <v>-5.4919825326539407</v>
      </c>
      <c r="M41" s="103">
        <f t="shared" si="2"/>
        <v>44.508017467346058</v>
      </c>
      <c r="N41" s="103">
        <f t="shared" si="3"/>
        <v>-5.4919825326539424</v>
      </c>
      <c r="O41" s="117">
        <f t="shared" si="4"/>
        <v>0</v>
      </c>
    </row>
    <row r="42" spans="1:15">
      <c r="A42" s="64">
        <v>29</v>
      </c>
      <c r="B42" s="159">
        <f t="shared" si="0"/>
        <v>20000</v>
      </c>
      <c r="C42" s="103">
        <f t="shared" si="5"/>
        <v>6406.3199093837975</v>
      </c>
      <c r="D42" s="103">
        <v>0</v>
      </c>
      <c r="E42" s="103">
        <f t="shared" si="6"/>
        <v>52.348924259503839</v>
      </c>
      <c r="F42" s="103">
        <f t="shared" si="7"/>
        <v>24.737964852562865</v>
      </c>
      <c r="G42" s="144">
        <f t="shared" si="8"/>
        <v>22</v>
      </c>
      <c r="H42" s="103">
        <v>0</v>
      </c>
      <c r="I42" s="156">
        <f t="shared" si="1"/>
        <v>50</v>
      </c>
      <c r="J42" s="103">
        <f t="shared" si="9"/>
        <v>24.737964852562865</v>
      </c>
      <c r="K42" s="103">
        <f t="shared" si="10"/>
        <v>-2.7379648525628646</v>
      </c>
      <c r="L42" s="103">
        <f t="shared" si="11"/>
        <v>-5.7657790179102273</v>
      </c>
      <c r="M42" s="103">
        <f t="shared" si="2"/>
        <v>44.234220982089774</v>
      </c>
      <c r="N42" s="103">
        <f t="shared" si="3"/>
        <v>-5.7657790179102264</v>
      </c>
      <c r="O42" s="117">
        <f t="shared" si="4"/>
        <v>0</v>
      </c>
    </row>
    <row r="43" spans="1:15">
      <c r="A43" s="64">
        <v>30</v>
      </c>
      <c r="B43" s="159">
        <f t="shared" si="0"/>
        <v>20000</v>
      </c>
      <c r="C43" s="103">
        <f t="shared" si="5"/>
        <v>6394.1193310904237</v>
      </c>
      <c r="D43" s="103">
        <v>0</v>
      </c>
      <c r="E43" s="103">
        <f t="shared" si="6"/>
        <v>53.023340740979357</v>
      </c>
      <c r="F43" s="103">
        <f t="shared" si="7"/>
        <v>24.758416376265277</v>
      </c>
      <c r="G43" s="144">
        <f t="shared" si="8"/>
        <v>22</v>
      </c>
      <c r="H43" s="103">
        <f t="shared" ref="H43:H83" si="12">0.5*$C$8*(1-COS(2*PI()*A13*$C$4*$E$6))</f>
        <v>0</v>
      </c>
      <c r="I43" s="156">
        <f t="shared" si="1"/>
        <v>50</v>
      </c>
      <c r="J43" s="103">
        <f t="shared" si="9"/>
        <v>24.758416376265277</v>
      </c>
      <c r="K43" s="103">
        <f t="shared" si="10"/>
        <v>-2.7584163762652771</v>
      </c>
      <c r="L43" s="103">
        <f t="shared" si="11"/>
        <v>-6.0416206555367546</v>
      </c>
      <c r="M43" s="103">
        <f t="shared" si="2"/>
        <v>43.958379344463246</v>
      </c>
      <c r="N43" s="103">
        <f t="shared" si="3"/>
        <v>-6.0416206555367538</v>
      </c>
      <c r="O43" s="117">
        <f t="shared" si="4"/>
        <v>0</v>
      </c>
    </row>
    <row r="44" spans="1:15">
      <c r="A44" s="64">
        <v>31</v>
      </c>
      <c r="B44" s="159">
        <f t="shared" si="0"/>
        <v>20000</v>
      </c>
      <c r="C44" s="103">
        <f t="shared" si="5"/>
        <v>6382.8709930540972</v>
      </c>
      <c r="D44" s="103">
        <v>0</v>
      </c>
      <c r="E44" s="103">
        <f t="shared" si="6"/>
        <v>53.681308039979868</v>
      </c>
      <c r="F44" s="103">
        <f t="shared" si="7"/>
        <v>24.777271683483598</v>
      </c>
      <c r="G44" s="144">
        <f t="shared" si="8"/>
        <v>22.019732715717286</v>
      </c>
      <c r="H44" s="103">
        <f t="shared" si="12"/>
        <v>1.973271571728441E-2</v>
      </c>
      <c r="I44" s="156">
        <f t="shared" si="1"/>
        <v>50</v>
      </c>
      <c r="J44" s="103">
        <f t="shared" si="9"/>
        <v>24.797004399200883</v>
      </c>
      <c r="K44" s="103">
        <f t="shared" si="10"/>
        <v>-2.7575389677663118</v>
      </c>
      <c r="L44" s="103">
        <f t="shared" si="11"/>
        <v>-6.3173745523133862</v>
      </c>
      <c r="M44" s="103">
        <f t="shared" si="2"/>
        <v>43.682625447686611</v>
      </c>
      <c r="N44" s="103">
        <f t="shared" si="3"/>
        <v>-6.3173745523133888</v>
      </c>
      <c r="O44" s="117">
        <f t="shared" si="4"/>
        <v>0</v>
      </c>
    </row>
    <row r="45" spans="1:15">
      <c r="A45" s="64">
        <v>32</v>
      </c>
      <c r="B45" s="159">
        <f t="shared" si="0"/>
        <v>20000</v>
      </c>
      <c r="C45" s="103">
        <f t="shared" si="5"/>
        <v>6372.5005740840206</v>
      </c>
      <c r="D45" s="103">
        <v>0</v>
      </c>
      <c r="E45" s="103">
        <f t="shared" si="6"/>
        <v>54.323227356077922</v>
      </c>
      <c r="F45" s="103">
        <f t="shared" si="7"/>
        <v>24.794655356967805</v>
      </c>
      <c r="G45" s="144">
        <f t="shared" si="8"/>
        <v>22.078852986855221</v>
      </c>
      <c r="H45" s="103">
        <f>0.5*$C$8*(1-COS(2*PI()*A15*$C$4*$E$6))</f>
        <v>7.8852986855221241E-2</v>
      </c>
      <c r="I45" s="156">
        <f t="shared" si="1"/>
        <v>50</v>
      </c>
      <c r="J45" s="103">
        <f t="shared" si="9"/>
        <v>24.873508343823026</v>
      </c>
      <c r="K45" s="103">
        <f t="shared" si="10"/>
        <v>-2.7158023701125842</v>
      </c>
      <c r="L45" s="103">
        <f t="shared" si="11"/>
        <v>-6.588954789324645</v>
      </c>
      <c r="M45" s="103">
        <f t="shared" si="2"/>
        <v>43.411045210675354</v>
      </c>
      <c r="N45" s="103">
        <f t="shared" si="3"/>
        <v>-6.5889547893246458</v>
      </c>
      <c r="O45" s="117">
        <f t="shared" si="4"/>
        <v>0</v>
      </c>
    </row>
    <row r="46" spans="1:15">
      <c r="A46" s="64">
        <v>33</v>
      </c>
      <c r="B46" s="159">
        <f t="shared" si="0"/>
        <v>20000</v>
      </c>
      <c r="C46" s="103">
        <f t="shared" si="5"/>
        <v>6362.9395536677075</v>
      </c>
      <c r="D46" s="103">
        <v>0</v>
      </c>
      <c r="E46" s="103">
        <f t="shared" si="6"/>
        <v>54.94949010349066</v>
      </c>
      <c r="F46" s="103">
        <f t="shared" si="7"/>
        <v>24.810682255936175</v>
      </c>
      <c r="G46" s="144">
        <f t="shared" si="8"/>
        <v>22.177127492713112</v>
      </c>
      <c r="H46" s="103">
        <f t="shared" si="12"/>
        <v>0.17712749271311279</v>
      </c>
      <c r="I46" s="156">
        <f t="shared" si="1"/>
        <v>50</v>
      </c>
      <c r="J46" s="103">
        <f t="shared" si="9"/>
        <v>24.987809748649287</v>
      </c>
      <c r="K46" s="103">
        <f t="shared" si="10"/>
        <v>-2.6335547632230636</v>
      </c>
      <c r="L46" s="103">
        <f t="shared" si="11"/>
        <v>-6.8523102656469517</v>
      </c>
      <c r="M46" s="103">
        <f t="shared" si="2"/>
        <v>43.147689734353051</v>
      </c>
      <c r="N46" s="103">
        <f t="shared" si="3"/>
        <v>-6.852310265646949</v>
      </c>
      <c r="O46" s="117">
        <f t="shared" si="4"/>
        <v>0</v>
      </c>
    </row>
    <row r="47" spans="1:15">
      <c r="A47" s="64">
        <v>34</v>
      </c>
      <c r="B47" s="159">
        <f t="shared" si="0"/>
        <v>20000</v>
      </c>
      <c r="C47" s="103">
        <f t="shared" si="5"/>
        <v>6354.1247592351028</v>
      </c>
      <c r="D47" s="103">
        <v>0</v>
      </c>
      <c r="E47" s="103">
        <f t="shared" si="6"/>
        <v>55.560478149746992</v>
      </c>
      <c r="F47" s="103">
        <f t="shared" si="7"/>
        <v>24.82545827498506</v>
      </c>
      <c r="G47" s="144">
        <f t="shared" si="8"/>
        <v>22.314168388713689</v>
      </c>
      <c r="H47" s="103">
        <f t="shared" si="12"/>
        <v>0.31416838871368924</v>
      </c>
      <c r="I47" s="156">
        <f t="shared" si="1"/>
        <v>50</v>
      </c>
      <c r="J47" s="103">
        <f t="shared" si="9"/>
        <v>25.139626663698749</v>
      </c>
      <c r="K47" s="103">
        <f t="shared" si="10"/>
        <v>-2.5112898862713706</v>
      </c>
      <c r="L47" s="103">
        <f t="shared" si="11"/>
        <v>-7.1034392542740887</v>
      </c>
      <c r="M47" s="103">
        <f t="shared" si="2"/>
        <v>42.896560745725914</v>
      </c>
      <c r="N47" s="103">
        <f t="shared" si="3"/>
        <v>-7.1034392542740861</v>
      </c>
      <c r="O47" s="117">
        <f t="shared" si="4"/>
        <v>0</v>
      </c>
    </row>
    <row r="48" spans="1:15">
      <c r="A48" s="64">
        <v>35</v>
      </c>
      <c r="B48" s="159">
        <f t="shared" si="0"/>
        <v>20000</v>
      </c>
      <c r="C48" s="103">
        <f t="shared" si="5"/>
        <v>6345.9979487582168</v>
      </c>
      <c r="D48" s="103">
        <v>0</v>
      </c>
      <c r="E48" s="103">
        <f t="shared" si="6"/>
        <v>56.156564048533653</v>
      </c>
      <c r="F48" s="103">
        <f t="shared" si="7"/>
        <v>24.839081043766715</v>
      </c>
      <c r="G48" s="144">
        <f t="shared" si="8"/>
        <v>22.489434837048464</v>
      </c>
      <c r="H48" s="103">
        <f t="shared" si="12"/>
        <v>0.48943483704846469</v>
      </c>
      <c r="I48" s="156">
        <f t="shared" si="1"/>
        <v>50</v>
      </c>
      <c r="J48" s="103">
        <f t="shared" si="9"/>
        <v>25.328515880815178</v>
      </c>
      <c r="K48" s="103">
        <f t="shared" si="10"/>
        <v>-2.3496462067182513</v>
      </c>
      <c r="L48" s="103">
        <f t="shared" si="11"/>
        <v>-7.3384038749459135</v>
      </c>
      <c r="M48" s="103">
        <f t="shared" si="2"/>
        <v>42.661596125054089</v>
      </c>
      <c r="N48" s="103">
        <f t="shared" si="3"/>
        <v>-7.3384038749459108</v>
      </c>
      <c r="O48" s="117">
        <f t="shared" si="4"/>
        <v>0</v>
      </c>
    </row>
    <row r="49" spans="1:15">
      <c r="A49" s="64">
        <v>36</v>
      </c>
      <c r="B49" s="159">
        <f t="shared" si="0"/>
        <v>20000</v>
      </c>
      <c r="C49" s="103">
        <f t="shared" si="5"/>
        <v>6338.5054259283061</v>
      </c>
      <c r="D49" s="103">
        <v>0</v>
      </c>
      <c r="E49" s="103">
        <f t="shared" si="6"/>
        <v>56.738111266862106</v>
      </c>
      <c r="F49" s="103">
        <f t="shared" si="7"/>
        <v>24.851640572058095</v>
      </c>
      <c r="G49" s="144">
        <f t="shared" si="8"/>
        <v>22.702235141117487</v>
      </c>
      <c r="H49" s="103">
        <f t="shared" si="12"/>
        <v>0.70223514111748653</v>
      </c>
      <c r="I49" s="156">
        <f t="shared" si="1"/>
        <v>50</v>
      </c>
      <c r="J49" s="103">
        <f t="shared" si="9"/>
        <v>25.553875713175582</v>
      </c>
      <c r="K49" s="103">
        <f t="shared" si="10"/>
        <v>-2.1494054309406074</v>
      </c>
      <c r="L49" s="103">
        <f t="shared" si="11"/>
        <v>-7.5533444180399743</v>
      </c>
      <c r="M49" s="103">
        <f t="shared" si="2"/>
        <v>42.446655581960023</v>
      </c>
      <c r="N49" s="103">
        <f t="shared" si="3"/>
        <v>-7.5533444180399769</v>
      </c>
      <c r="O49" s="117">
        <f t="shared" si="4"/>
        <v>0</v>
      </c>
    </row>
    <row r="50" spans="1:15">
      <c r="A50" s="64">
        <v>37</v>
      </c>
      <c r="B50" s="159">
        <f t="shared" si="0"/>
        <v>20000</v>
      </c>
      <c r="C50" s="103">
        <f t="shared" si="5"/>
        <v>6331.5976853680477</v>
      </c>
      <c r="D50" s="103">
        <v>0</v>
      </c>
      <c r="E50" s="103">
        <f t="shared" si="6"/>
        <v>57.305474406694742</v>
      </c>
      <c r="F50" s="103">
        <f t="shared" si="7"/>
        <v>24.863219844482831</v>
      </c>
      <c r="G50" s="144">
        <f t="shared" si="8"/>
        <v>22.951729475339803</v>
      </c>
      <c r="H50" s="103">
        <f t="shared" si="12"/>
        <v>0.95172947533980423</v>
      </c>
      <c r="I50" s="156">
        <f t="shared" si="1"/>
        <v>50</v>
      </c>
      <c r="J50" s="103">
        <f t="shared" si="9"/>
        <v>25.814949319822635</v>
      </c>
      <c r="K50" s="103">
        <f t="shared" si="10"/>
        <v>-1.9114903691430278</v>
      </c>
      <c r="L50" s="103">
        <f t="shared" si="11"/>
        <v>-7.7444934549542772</v>
      </c>
      <c r="M50" s="103">
        <f t="shared" si="2"/>
        <v>42.255506545045719</v>
      </c>
      <c r="N50" s="103">
        <f t="shared" si="3"/>
        <v>-7.7444934549542808</v>
      </c>
      <c r="O50" s="117">
        <f t="shared" si="4"/>
        <v>0</v>
      </c>
    </row>
    <row r="51" spans="1:15">
      <c r="A51" s="64">
        <v>38</v>
      </c>
      <c r="B51" s="159">
        <f t="shared" si="0"/>
        <v>20000</v>
      </c>
      <c r="C51" s="103">
        <f t="shared" si="5"/>
        <v>6325.2290855344436</v>
      </c>
      <c r="D51" s="103">
        <v>0</v>
      </c>
      <c r="E51" s="103">
        <f t="shared" si="6"/>
        <v>57.858999421165606</v>
      </c>
      <c r="F51" s="103">
        <f t="shared" si="7"/>
        <v>24.87389536881588</v>
      </c>
      <c r="G51" s="144">
        <f t="shared" si="8"/>
        <v>23.236933199561363</v>
      </c>
      <c r="H51" s="103">
        <f t="shared" si="12"/>
        <v>1.2369331995613642</v>
      </c>
      <c r="I51" s="156">
        <f t="shared" si="1"/>
        <v>50</v>
      </c>
      <c r="J51" s="103">
        <f t="shared" si="9"/>
        <v>26.110828568377244</v>
      </c>
      <c r="K51" s="103">
        <f t="shared" si="10"/>
        <v>-1.6369621692545167</v>
      </c>
      <c r="L51" s="103">
        <f t="shared" si="11"/>
        <v>-7.9081896718797289</v>
      </c>
      <c r="M51" s="103">
        <f t="shared" si="2"/>
        <v>42.091810328120275</v>
      </c>
      <c r="N51" s="103">
        <f t="shared" si="3"/>
        <v>-7.9081896718797253</v>
      </c>
      <c r="O51" s="117">
        <f t="shared" si="4"/>
        <v>0</v>
      </c>
    </row>
    <row r="52" spans="1:15">
      <c r="A52" s="64">
        <v>39</v>
      </c>
      <c r="B52" s="159">
        <f t="shared" si="0"/>
        <v>20000</v>
      </c>
      <c r="C52" s="103">
        <f t="shared" si="5"/>
        <v>6319.3575471512668</v>
      </c>
      <c r="D52" s="103">
        <v>0</v>
      </c>
      <c r="E52" s="103">
        <f t="shared" si="6"/>
        <v>58.399023825527429</v>
      </c>
      <c r="F52" s="103">
        <f t="shared" si="7"/>
        <v>24.883737681493667</v>
      </c>
      <c r="G52" s="144">
        <f t="shared" si="8"/>
        <v>23.556720744979849</v>
      </c>
      <c r="H52" s="103">
        <f t="shared" si="12"/>
        <v>1.5567207449798492</v>
      </c>
      <c r="I52" s="156">
        <f t="shared" si="1"/>
        <v>50</v>
      </c>
      <c r="J52" s="103">
        <f t="shared" si="9"/>
        <v>26.440458426473516</v>
      </c>
      <c r="K52" s="103">
        <f t="shared" si="10"/>
        <v>-1.327016936513818</v>
      </c>
      <c r="L52" s="103">
        <f t="shared" si="11"/>
        <v>-8.0408913655311114</v>
      </c>
      <c r="M52" s="103">
        <f t="shared" si="2"/>
        <v>41.95910863446889</v>
      </c>
      <c r="N52" s="103">
        <f t="shared" si="3"/>
        <v>-8.0408913655311096</v>
      </c>
      <c r="O52" s="117">
        <f t="shared" si="4"/>
        <v>0</v>
      </c>
    </row>
    <row r="53" spans="1:15">
      <c r="A53" s="64">
        <v>40</v>
      </c>
      <c r="B53" s="159">
        <f t="shared" si="0"/>
        <v>20000</v>
      </c>
      <c r="C53" s="103">
        <f t="shared" si="5"/>
        <v>6313.9442751784827</v>
      </c>
      <c r="D53" s="103">
        <v>0</v>
      </c>
      <c r="E53" s="103">
        <f t="shared" si="6"/>
        <v>58.925876902953597</v>
      </c>
      <c r="F53" s="103">
        <f t="shared" si="7"/>
        <v>24.892811813669773</v>
      </c>
      <c r="G53" s="144">
        <f t="shared" si="8"/>
        <v>23.909830056250527</v>
      </c>
      <c r="H53" s="103">
        <f t="shared" si="12"/>
        <v>1.9098300562505255</v>
      </c>
      <c r="I53" s="156">
        <f t="shared" si="1"/>
        <v>50</v>
      </c>
      <c r="J53" s="103">
        <f t="shared" si="9"/>
        <v>26.802641869920301</v>
      </c>
      <c r="K53" s="103">
        <f t="shared" si="10"/>
        <v>-0.98298175741924609</v>
      </c>
      <c r="L53" s="103">
        <f t="shared" si="11"/>
        <v>-8.1391895412730353</v>
      </c>
      <c r="M53" s="103">
        <f t="shared" si="2"/>
        <v>41.860810458726966</v>
      </c>
      <c r="N53" s="103">
        <f t="shared" si="3"/>
        <v>-8.1391895412730335</v>
      </c>
      <c r="O53" s="117">
        <f t="shared" si="4"/>
        <v>0</v>
      </c>
    </row>
    <row r="54" spans="1:15">
      <c r="A54" s="64">
        <v>41</v>
      </c>
      <c r="B54" s="159">
        <f t="shared" si="0"/>
        <v>20000</v>
      </c>
      <c r="C54" s="103">
        <f t="shared" si="5"/>
        <v>6308.953502481625</v>
      </c>
      <c r="D54" s="103">
        <v>0</v>
      </c>
      <c r="E54" s="103">
        <f t="shared" si="6"/>
        <v>59.439879905320588</v>
      </c>
      <c r="F54" s="103">
        <f t="shared" si="7"/>
        <v>24.90117772089555</v>
      </c>
      <c r="G54" s="144">
        <f t="shared" si="8"/>
        <v>24.294867572242108</v>
      </c>
      <c r="H54" s="103">
        <f t="shared" si="12"/>
        <v>2.2948675722421088</v>
      </c>
      <c r="I54" s="156">
        <f t="shared" si="1"/>
        <v>50</v>
      </c>
      <c r="J54" s="103">
        <f t="shared" si="9"/>
        <v>27.196045293137658</v>
      </c>
      <c r="K54" s="103">
        <f t="shared" si="10"/>
        <v>-0.60631014865344213</v>
      </c>
      <c r="L54" s="103">
        <f t="shared" si="11"/>
        <v>-8.1998205561383788</v>
      </c>
      <c r="M54" s="103">
        <f t="shared" si="2"/>
        <v>41.800179443861623</v>
      </c>
      <c r="N54" s="103">
        <f t="shared" si="3"/>
        <v>-8.199820556138377</v>
      </c>
      <c r="O54" s="117">
        <f t="shared" si="4"/>
        <v>0</v>
      </c>
    </row>
    <row r="55" spans="1:15">
      <c r="A55" s="64">
        <v>42</v>
      </c>
      <c r="B55" s="159">
        <f t="shared" si="0"/>
        <v>20000</v>
      </c>
      <c r="C55" s="103">
        <f t="shared" si="5"/>
        <v>6304.352253507448</v>
      </c>
      <c r="D55" s="103">
        <v>0</v>
      </c>
      <c r="E55" s="103">
        <f t="shared" si="6"/>
        <v>59.941346249093264</v>
      </c>
      <c r="F55" s="103">
        <f t="shared" si="7"/>
        <v>24.90889067926468</v>
      </c>
      <c r="G55" s="144">
        <f t="shared" si="8"/>
        <v>24.710313725785884</v>
      </c>
      <c r="H55" s="103">
        <f t="shared" si="12"/>
        <v>2.7103137257858845</v>
      </c>
      <c r="I55" s="156">
        <f t="shared" si="1"/>
        <v>50</v>
      </c>
      <c r="J55" s="103">
        <f t="shared" si="9"/>
        <v>27.619204405050564</v>
      </c>
      <c r="K55" s="103">
        <f t="shared" si="10"/>
        <v>-0.19857695347879556</v>
      </c>
      <c r="L55" s="103">
        <f t="shared" si="11"/>
        <v>-8.2196782514862576</v>
      </c>
      <c r="M55" s="103">
        <f t="shared" si="2"/>
        <v>41.780321748513742</v>
      </c>
      <c r="N55" s="103">
        <f t="shared" si="3"/>
        <v>-8.2196782514862576</v>
      </c>
      <c r="O55" s="117">
        <f t="shared" si="4"/>
        <v>0</v>
      </c>
    </row>
    <row r="56" spans="1:15">
      <c r="A56" s="64">
        <v>43</v>
      </c>
      <c r="B56" s="159">
        <f t="shared" si="0"/>
        <v>20000</v>
      </c>
      <c r="C56" s="103">
        <f t="shared" si="5"/>
        <v>6300.1101264044264</v>
      </c>
      <c r="D56" s="103">
        <v>0</v>
      </c>
      <c r="E56" s="103">
        <f t="shared" si="6"/>
        <v>60.430581706432456</v>
      </c>
      <c r="F56" s="103">
        <f t="shared" si="7"/>
        <v>24.916001650639146</v>
      </c>
      <c r="G56" s="144">
        <f t="shared" si="8"/>
        <v>25.154528940713114</v>
      </c>
      <c r="H56" s="103">
        <f t="shared" si="12"/>
        <v>3.154528940713115</v>
      </c>
      <c r="I56" s="156">
        <f t="shared" si="1"/>
        <v>50</v>
      </c>
      <c r="J56" s="103">
        <f t="shared" si="9"/>
        <v>28.070530591352259</v>
      </c>
      <c r="K56" s="103">
        <f t="shared" si="10"/>
        <v>0.23852729007396789</v>
      </c>
      <c r="L56" s="103">
        <f t="shared" si="11"/>
        <v>-8.1958255224788612</v>
      </c>
      <c r="M56" s="103">
        <f t="shared" si="2"/>
        <v>41.804174477521137</v>
      </c>
      <c r="N56" s="103">
        <f t="shared" si="3"/>
        <v>-8.195825522478863</v>
      </c>
      <c r="O56" s="117">
        <f t="shared" si="4"/>
        <v>0</v>
      </c>
    </row>
    <row r="57" spans="1:15">
      <c r="A57" s="64">
        <v>44</v>
      </c>
      <c r="B57" s="159">
        <f t="shared" si="0"/>
        <v>20000</v>
      </c>
      <c r="C57" s="103">
        <f t="shared" si="5"/>
        <v>6296.1990921484703</v>
      </c>
      <c r="D57" s="103">
        <v>0</v>
      </c>
      <c r="E57" s="103">
        <f t="shared" si="6"/>
        <v>60.907884591641427</v>
      </c>
      <c r="F57" s="103">
        <f t="shared" si="7"/>
        <v>24.922557619369751</v>
      </c>
      <c r="G57" s="144">
        <f t="shared" si="8"/>
        <v>25.625760102513102</v>
      </c>
      <c r="H57" s="103">
        <f t="shared" si="12"/>
        <v>3.6257601025131025</v>
      </c>
      <c r="I57" s="156">
        <f t="shared" si="1"/>
        <v>50</v>
      </c>
      <c r="J57" s="103">
        <f t="shared" si="9"/>
        <v>28.548317721882853</v>
      </c>
      <c r="K57" s="103">
        <f t="shared" si="10"/>
        <v>0.70320248314335032</v>
      </c>
      <c r="L57" s="103">
        <f t="shared" si="11"/>
        <v>-8.1255052741645262</v>
      </c>
      <c r="M57" s="103">
        <f t="shared" si="2"/>
        <v>41.874494725835476</v>
      </c>
      <c r="N57" s="103">
        <f t="shared" si="3"/>
        <v>-8.1255052741645244</v>
      </c>
      <c r="O57" s="117">
        <f t="shared" si="4"/>
        <v>0</v>
      </c>
    </row>
    <row r="58" spans="1:15">
      <c r="A58" s="64">
        <v>45</v>
      </c>
      <c r="B58" s="159">
        <f t="shared" si="0"/>
        <v>20000</v>
      </c>
      <c r="C58" s="103">
        <f t="shared" si="5"/>
        <v>6292.5933093466374</v>
      </c>
      <c r="D58" s="103">
        <v>0</v>
      </c>
      <c r="E58" s="103">
        <f t="shared" si="6"/>
        <v>61.373545943064812</v>
      </c>
      <c r="F58" s="103">
        <f t="shared" si="7"/>
        <v>24.928601902736016</v>
      </c>
      <c r="G58" s="144">
        <f t="shared" si="8"/>
        <v>26.122147477075266</v>
      </c>
      <c r="H58" s="103">
        <f t="shared" si="12"/>
        <v>4.1221474770752682</v>
      </c>
      <c r="I58" s="156">
        <f t="shared" si="1"/>
        <v>50</v>
      </c>
      <c r="J58" s="103">
        <f t="shared" si="9"/>
        <v>29.050749379811286</v>
      </c>
      <c r="K58" s="103">
        <f t="shared" si="10"/>
        <v>1.1935455743392502</v>
      </c>
      <c r="L58" s="103">
        <f t="shared" si="11"/>
        <v>-8.0061507167306019</v>
      </c>
      <c r="M58" s="103">
        <f t="shared" si="2"/>
        <v>41.993849283269398</v>
      </c>
      <c r="N58" s="103">
        <f t="shared" si="3"/>
        <v>-8.0061507167306019</v>
      </c>
      <c r="O58" s="117">
        <f t="shared" si="4"/>
        <v>0</v>
      </c>
    </row>
    <row r="59" spans="1:15">
      <c r="A59" s="64">
        <v>46</v>
      </c>
      <c r="B59" s="159">
        <f t="shared" si="0"/>
        <v>20000</v>
      </c>
      <c r="C59" s="103">
        <f t="shared" si="5"/>
        <v>6289.2689534951915</v>
      </c>
      <c r="D59" s="103">
        <v>0</v>
      </c>
      <c r="E59" s="103">
        <f t="shared" si="6"/>
        <v>61.827849700551042</v>
      </c>
      <c r="F59" s="103">
        <f t="shared" si="7"/>
        <v>24.934174437156621</v>
      </c>
      <c r="G59" s="144">
        <f t="shared" si="8"/>
        <v>26.641732050210035</v>
      </c>
      <c r="H59" s="103">
        <f t="shared" si="12"/>
        <v>4.6417320502100345</v>
      </c>
      <c r="I59" s="156">
        <f t="shared" si="1"/>
        <v>50</v>
      </c>
      <c r="J59" s="103">
        <f t="shared" si="9"/>
        <v>29.575906487366655</v>
      </c>
      <c r="K59" s="103">
        <f t="shared" si="10"/>
        <v>1.7075576130534138</v>
      </c>
      <c r="L59" s="103">
        <f t="shared" si="11"/>
        <v>-7.8353949554252607</v>
      </c>
      <c r="M59" s="103">
        <f t="shared" si="2"/>
        <v>42.164605044574742</v>
      </c>
      <c r="N59" s="103">
        <f t="shared" si="3"/>
        <v>-7.835394955425258</v>
      </c>
      <c r="O59" s="117">
        <f t="shared" si="4"/>
        <v>0</v>
      </c>
    </row>
    <row r="60" spans="1:15">
      <c r="A60" s="64">
        <v>47</v>
      </c>
      <c r="B60" s="159">
        <f t="shared" si="0"/>
        <v>20000</v>
      </c>
      <c r="C60" s="103">
        <f t="shared" si="5"/>
        <v>6286.2040595638591</v>
      </c>
      <c r="D60" s="103">
        <v>0</v>
      </c>
      <c r="E60" s="103">
        <f t="shared" si="6"/>
        <v>62.271072878586388</v>
      </c>
      <c r="F60" s="103">
        <f t="shared" si="7"/>
        <v>24.939312042061474</v>
      </c>
      <c r="G60" s="144">
        <f t="shared" si="8"/>
        <v>27.18246325898285</v>
      </c>
      <c r="H60" s="103">
        <f t="shared" si="12"/>
        <v>5.1824632589828479</v>
      </c>
      <c r="I60" s="156">
        <f t="shared" si="1"/>
        <v>50</v>
      </c>
      <c r="J60" s="103">
        <f t="shared" si="9"/>
        <v>30.121775301044323</v>
      </c>
      <c r="K60" s="103">
        <f t="shared" si="10"/>
        <v>2.2431512169213761</v>
      </c>
      <c r="L60" s="103">
        <f t="shared" si="11"/>
        <v>-7.6110798337331227</v>
      </c>
      <c r="M60" s="103">
        <f t="shared" si="2"/>
        <v>42.388920166266878</v>
      </c>
      <c r="N60" s="103">
        <f t="shared" si="3"/>
        <v>-7.6110798337331218</v>
      </c>
      <c r="O60" s="117">
        <f t="shared" si="4"/>
        <v>0</v>
      </c>
    </row>
    <row r="61" spans="1:15">
      <c r="A61" s="64">
        <v>48</v>
      </c>
      <c r="B61" s="159">
        <f t="shared" si="0"/>
        <v>20000</v>
      </c>
      <c r="C61" s="103">
        <f t="shared" si="5"/>
        <v>6283.3783768661888</v>
      </c>
      <c r="D61" s="103">
        <v>0</v>
      </c>
      <c r="E61" s="103">
        <f t="shared" si="6"/>
        <v>62.703485735206229</v>
      </c>
      <c r="F61" s="103">
        <f t="shared" si="7"/>
        <v>24.944048663168871</v>
      </c>
      <c r="G61" s="144">
        <f t="shared" si="8"/>
        <v>27.742207084349275</v>
      </c>
      <c r="H61" s="103">
        <f t="shared" si="12"/>
        <v>5.742207084349273</v>
      </c>
      <c r="I61" s="156">
        <f t="shared" si="1"/>
        <v>50</v>
      </c>
      <c r="J61" s="103">
        <f t="shared" si="9"/>
        <v>30.686255747518146</v>
      </c>
      <c r="K61" s="103">
        <f t="shared" si="10"/>
        <v>2.7981584211804034</v>
      </c>
      <c r="L61" s="103">
        <f t="shared" si="11"/>
        <v>-7.3312639916150824</v>
      </c>
      <c r="M61" s="103">
        <f t="shared" si="2"/>
        <v>42.668736008384919</v>
      </c>
      <c r="N61" s="103">
        <f t="shared" si="3"/>
        <v>-7.3312639916150815</v>
      </c>
      <c r="O61" s="117">
        <f t="shared" si="4"/>
        <v>0</v>
      </c>
    </row>
    <row r="62" spans="1:15">
      <c r="A62" s="64">
        <v>49</v>
      </c>
      <c r="B62" s="159">
        <f t="shared" si="0"/>
        <v>20000</v>
      </c>
      <c r="C62" s="103">
        <f t="shared" si="5"/>
        <v>6280.7732352571202</v>
      </c>
      <c r="D62" s="103">
        <v>0</v>
      </c>
      <c r="E62" s="103">
        <f t="shared" si="6"/>
        <v>63.125351936786572</v>
      </c>
      <c r="F62" s="103">
        <f t="shared" si="7"/>
        <v>24.948415596775206</v>
      </c>
      <c r="G62" s="144">
        <f t="shared" si="8"/>
        <v>28.31875447315322</v>
      </c>
      <c r="H62" s="103">
        <f t="shared" si="12"/>
        <v>6.3187544731532208</v>
      </c>
      <c r="I62" s="156">
        <f t="shared" si="1"/>
        <v>50</v>
      </c>
      <c r="J62" s="103">
        <f t="shared" si="9"/>
        <v>31.267170069928426</v>
      </c>
      <c r="K62" s="103">
        <f t="shared" si="10"/>
        <v>3.370338876378014</v>
      </c>
      <c r="L62" s="103">
        <f t="shared" si="11"/>
        <v>-6.994230103977281</v>
      </c>
      <c r="M62" s="103">
        <f t="shared" si="2"/>
        <v>43.00576989602272</v>
      </c>
      <c r="N62" s="103">
        <f t="shared" si="3"/>
        <v>-6.9942301039772801</v>
      </c>
      <c r="O62" s="117">
        <f t="shared" si="4"/>
        <v>0</v>
      </c>
    </row>
    <row r="63" spans="1:15">
      <c r="A63" s="64">
        <v>50</v>
      </c>
      <c r="B63" s="159">
        <f t="shared" si="0"/>
        <v>20000</v>
      </c>
      <c r="C63" s="103">
        <f t="shared" si="5"/>
        <v>6278.371421773636</v>
      </c>
      <c r="D63" s="103">
        <v>0</v>
      </c>
      <c r="E63" s="103">
        <f t="shared" si="6"/>
        <v>63.536928718816171</v>
      </c>
      <c r="F63" s="103">
        <f t="shared" si="7"/>
        <v>24.952441696539093</v>
      </c>
      <c r="G63" s="144">
        <f t="shared" si="8"/>
        <v>28.909830056250527</v>
      </c>
      <c r="H63" s="103">
        <f t="shared" si="12"/>
        <v>6.9098300562505255</v>
      </c>
      <c r="I63" s="156">
        <f t="shared" si="1"/>
        <v>50</v>
      </c>
      <c r="J63" s="103">
        <f t="shared" si="9"/>
        <v>31.862271752789617</v>
      </c>
      <c r="K63" s="103">
        <f t="shared" si="10"/>
        <v>3.9573883597114339</v>
      </c>
      <c r="L63" s="103">
        <f t="shared" si="11"/>
        <v>-6.5984912680061374</v>
      </c>
      <c r="M63" s="103">
        <f t="shared" si="2"/>
        <v>43.401508731993864</v>
      </c>
      <c r="N63" s="103">
        <f t="shared" si="3"/>
        <v>-6.5984912680061356</v>
      </c>
      <c r="O63" s="117">
        <f t="shared" si="4"/>
        <v>0</v>
      </c>
    </row>
    <row r="64" spans="1:15">
      <c r="A64" s="64">
        <v>51</v>
      </c>
      <c r="B64" s="159">
        <f t="shared" si="0"/>
        <v>20000</v>
      </c>
      <c r="C64" s="103">
        <f t="shared" si="5"/>
        <v>6276.1570669034991</v>
      </c>
      <c r="D64" s="103">
        <v>0</v>
      </c>
      <c r="E64" s="103">
        <f t="shared" si="6"/>
        <v>63.93846704274749</v>
      </c>
      <c r="F64" s="103">
        <f t="shared" si="7"/>
        <v>24.956153564126289</v>
      </c>
      <c r="G64" s="144">
        <f t="shared" si="8"/>
        <v>29.513101128351455</v>
      </c>
      <c r="H64" s="103">
        <f t="shared" si="12"/>
        <v>7.5131011283514546</v>
      </c>
      <c r="I64" s="156">
        <f t="shared" si="1"/>
        <v>50</v>
      </c>
      <c r="J64" s="103">
        <f t="shared" si="9"/>
        <v>32.469254692477747</v>
      </c>
      <c r="K64" s="103">
        <f t="shared" si="10"/>
        <v>4.5569475642251653</v>
      </c>
      <c r="L64" s="103">
        <f t="shared" si="11"/>
        <v>-6.1427965115836205</v>
      </c>
      <c r="M64" s="103">
        <f t="shared" si="2"/>
        <v>43.857203488416381</v>
      </c>
      <c r="N64" s="103">
        <f t="shared" si="3"/>
        <v>-6.1427965115836187</v>
      </c>
      <c r="O64" s="117">
        <f t="shared" si="4"/>
        <v>0</v>
      </c>
    </row>
    <row r="65" spans="1:15">
      <c r="A65" s="64">
        <v>52</v>
      </c>
      <c r="B65" s="159">
        <f t="shared" si="0"/>
        <v>20000</v>
      </c>
      <c r="C65" s="103">
        <f t="shared" si="5"/>
        <v>6274.1155397305411</v>
      </c>
      <c r="D65" s="103">
        <v>0</v>
      </c>
      <c r="E65" s="103">
        <f t="shared" si="6"/>
        <v>64.330211749021942</v>
      </c>
      <c r="F65" s="103">
        <f t="shared" si="7"/>
        <v>24.959575724974972</v>
      </c>
      <c r="G65" s="144">
        <f t="shared" si="8"/>
        <v>30.126186854142755</v>
      </c>
      <c r="H65" s="103">
        <f t="shared" si="12"/>
        <v>8.1261868541427553</v>
      </c>
      <c r="I65" s="156">
        <f t="shared" si="1"/>
        <v>50</v>
      </c>
      <c r="J65" s="103">
        <f t="shared" si="9"/>
        <v>33.085762579117727</v>
      </c>
      <c r="K65" s="103">
        <f t="shared" si="10"/>
        <v>5.1666111291677836</v>
      </c>
      <c r="L65" s="103">
        <f t="shared" si="11"/>
        <v>-5.6261353986668423</v>
      </c>
      <c r="M65" s="103">
        <f t="shared" si="2"/>
        <v>44.37386460133316</v>
      </c>
      <c r="N65" s="103">
        <f t="shared" si="3"/>
        <v>-5.6261353986668396</v>
      </c>
      <c r="O65" s="117">
        <f t="shared" si="4"/>
        <v>0</v>
      </c>
    </row>
    <row r="66" spans="1:15">
      <c r="A66" s="64">
        <v>53</v>
      </c>
      <c r="B66" s="159">
        <f t="shared" si="0"/>
        <v>20000</v>
      </c>
      <c r="C66" s="103">
        <f t="shared" si="5"/>
        <v>6272.2333512637651</v>
      </c>
      <c r="D66" s="103">
        <v>0</v>
      </c>
      <c r="E66" s="103">
        <f t="shared" si="6"/>
        <v>64.712401706362883</v>
      </c>
      <c r="F66" s="103">
        <f t="shared" si="7"/>
        <v>24.962730790342782</v>
      </c>
      <c r="G66" s="144">
        <f t="shared" si="8"/>
        <v>30.746667664356956</v>
      </c>
      <c r="H66" s="103">
        <f t="shared" si="12"/>
        <v>8.7466676643569574</v>
      </c>
      <c r="I66" s="156">
        <f t="shared" si="1"/>
        <v>50</v>
      </c>
      <c r="J66" s="103">
        <f t="shared" si="9"/>
        <v>33.709398454699738</v>
      </c>
      <c r="K66" s="103">
        <f t="shared" si="10"/>
        <v>5.7839368740141737</v>
      </c>
      <c r="L66" s="103">
        <f t="shared" si="11"/>
        <v>-5.0477417112654246</v>
      </c>
      <c r="M66" s="103">
        <f t="shared" si="2"/>
        <v>44.952258288734576</v>
      </c>
      <c r="N66" s="103">
        <f t="shared" si="3"/>
        <v>-5.0477417112654237</v>
      </c>
      <c r="O66" s="117">
        <f t="shared" si="4"/>
        <v>0</v>
      </c>
    </row>
    <row r="67" spans="1:15">
      <c r="A67" s="64">
        <v>54</v>
      </c>
      <c r="B67" s="159">
        <f t="shared" si="0"/>
        <v>20000</v>
      </c>
      <c r="C67" s="103">
        <f t="shared" si="5"/>
        <v>6270.4980653114708</v>
      </c>
      <c r="D67" s="103">
        <v>0</v>
      </c>
      <c r="E67" s="103">
        <f t="shared" si="6"/>
        <v>65.085269957427215</v>
      </c>
      <c r="F67" s="103">
        <f t="shared" si="7"/>
        <v>24.965639606706276</v>
      </c>
      <c r="G67" s="144">
        <f t="shared" si="8"/>
        <v>31.372094804706869</v>
      </c>
      <c r="H67" s="103">
        <f t="shared" si="12"/>
        <v>9.3720948047068671</v>
      </c>
      <c r="I67" s="156">
        <f t="shared" si="1"/>
        <v>50</v>
      </c>
      <c r="J67" s="103">
        <f t="shared" si="9"/>
        <v>34.337734411413145</v>
      </c>
      <c r="K67" s="103">
        <f t="shared" si="10"/>
        <v>6.406455198000593</v>
      </c>
      <c r="L67" s="103">
        <f t="shared" si="11"/>
        <v>-4.4070961914653655</v>
      </c>
      <c r="M67" s="103">
        <f t="shared" si="2"/>
        <v>45.592903808534636</v>
      </c>
      <c r="N67" s="103">
        <f t="shared" si="3"/>
        <v>-4.4070961914653637</v>
      </c>
      <c r="O67" s="117">
        <f t="shared" si="4"/>
        <v>0</v>
      </c>
    </row>
    <row r="68" spans="1:15">
      <c r="A68" s="64">
        <v>55</v>
      </c>
      <c r="B68" s="159">
        <f t="shared" si="0"/>
        <v>20000</v>
      </c>
      <c r="C68" s="103">
        <f t="shared" si="5"/>
        <v>6268.8982163115488</v>
      </c>
      <c r="D68" s="103">
        <v>0</v>
      </c>
      <c r="E68" s="103">
        <f t="shared" si="6"/>
        <v>65.449043860904609</v>
      </c>
      <c r="F68" s="103">
        <f t="shared" si="7"/>
        <v>24.968321393499934</v>
      </c>
      <c r="G68" s="144">
        <f t="shared" si="8"/>
        <v>32</v>
      </c>
      <c r="H68" s="103">
        <f t="shared" si="12"/>
        <v>10.000000000000002</v>
      </c>
      <c r="I68" s="156">
        <f t="shared" si="1"/>
        <v>50</v>
      </c>
      <c r="J68" s="103">
        <f t="shared" si="9"/>
        <v>34.968321393499934</v>
      </c>
      <c r="K68" s="103">
        <f t="shared" si="10"/>
        <v>7.0316786065000656</v>
      </c>
      <c r="L68" s="103">
        <f t="shared" si="11"/>
        <v>-3.703928330815359</v>
      </c>
      <c r="M68" s="103">
        <f t="shared" si="2"/>
        <v>46.296071669184641</v>
      </c>
      <c r="N68" s="103">
        <f t="shared" si="3"/>
        <v>-3.7039283308153585</v>
      </c>
      <c r="O68" s="117">
        <f t="shared" si="4"/>
        <v>0</v>
      </c>
    </row>
    <row r="69" spans="1:15">
      <c r="A69" s="64">
        <v>56</v>
      </c>
      <c r="B69" s="159">
        <f t="shared" si="0"/>
        <v>20000</v>
      </c>
      <c r="C69" s="103">
        <f t="shared" si="5"/>
        <v>6267.4232335750366</v>
      </c>
      <c r="D69" s="103">
        <v>0</v>
      </c>
      <c r="E69" s="103">
        <f t="shared" si="6"/>
        <v>65.803945230150845</v>
      </c>
      <c r="F69" s="103">
        <f t="shared" si="7"/>
        <v>24.970793870104821</v>
      </c>
      <c r="G69" s="144">
        <f t="shared" si="8"/>
        <v>32.627905195293138</v>
      </c>
      <c r="H69" s="103">
        <f t="shared" si="12"/>
        <v>10.627905195293138</v>
      </c>
      <c r="I69" s="156">
        <f t="shared" si="1"/>
        <v>50</v>
      </c>
      <c r="J69" s="103">
        <f t="shared" si="9"/>
        <v>35.598699065397959</v>
      </c>
      <c r="K69" s="103">
        <f t="shared" si="10"/>
        <v>7.6571113251883176</v>
      </c>
      <c r="L69" s="103">
        <f t="shared" si="11"/>
        <v>-2.9382171982965271</v>
      </c>
      <c r="M69" s="103">
        <f t="shared" si="2"/>
        <v>47.061782801703473</v>
      </c>
      <c r="N69" s="103">
        <f t="shared" si="3"/>
        <v>-2.9382171982965275</v>
      </c>
      <c r="O69" s="117">
        <f t="shared" si="4"/>
        <v>0</v>
      </c>
    </row>
    <row r="70" spans="1:15">
      <c r="A70" s="64">
        <v>57</v>
      </c>
      <c r="B70" s="159">
        <f t="shared" si="0"/>
        <v>20000</v>
      </c>
      <c r="C70" s="103">
        <f t="shared" si="5"/>
        <v>6266.0633714423493</v>
      </c>
      <c r="D70" s="103">
        <v>0</v>
      </c>
      <c r="E70" s="103">
        <f t="shared" si="6"/>
        <v>66.15019046843986</v>
      </c>
      <c r="F70" s="103">
        <f t="shared" si="7"/>
        <v>24.97307337292591</v>
      </c>
      <c r="G70" s="144">
        <f t="shared" si="8"/>
        <v>33.253332335643044</v>
      </c>
      <c r="H70" s="103">
        <f t="shared" si="12"/>
        <v>11.253332335643043</v>
      </c>
      <c r="I70" s="156">
        <f t="shared" si="1"/>
        <v>50</v>
      </c>
      <c r="J70" s="103">
        <f t="shared" si="9"/>
        <v>36.226405708568954</v>
      </c>
      <c r="K70" s="103">
        <f t="shared" si="10"/>
        <v>8.2802589627171344</v>
      </c>
      <c r="L70" s="103">
        <f t="shared" si="11"/>
        <v>-2.1101913020248135</v>
      </c>
      <c r="M70" s="103">
        <f t="shared" si="2"/>
        <v>47.889808697975184</v>
      </c>
      <c r="N70" s="103">
        <f t="shared" si="3"/>
        <v>-2.1101913020248162</v>
      </c>
      <c r="O70" s="117">
        <f t="shared" si="4"/>
        <v>0</v>
      </c>
    </row>
    <row r="71" spans="1:15">
      <c r="A71" s="64">
        <v>58</v>
      </c>
      <c r="B71" s="159">
        <f t="shared" si="0"/>
        <v>20000</v>
      </c>
      <c r="C71" s="103">
        <f t="shared" si="5"/>
        <v>6264.809644890749</v>
      </c>
      <c r="D71" s="103">
        <v>0</v>
      </c>
      <c r="E71" s="103">
        <f t="shared" si="6"/>
        <v>66.487990700916939</v>
      </c>
      <c r="F71" s="103">
        <f t="shared" si="7"/>
        <v>24.975174963331696</v>
      </c>
      <c r="G71" s="144">
        <f t="shared" si="8"/>
        <v>33.873813145857248</v>
      </c>
      <c r="H71" s="103">
        <f t="shared" si="12"/>
        <v>11.873813145857246</v>
      </c>
      <c r="I71" s="156">
        <f t="shared" si="1"/>
        <v>50</v>
      </c>
      <c r="J71" s="103">
        <f t="shared" si="9"/>
        <v>36.848988109188944</v>
      </c>
      <c r="K71" s="103">
        <f t="shared" si="10"/>
        <v>8.8986381825255521</v>
      </c>
      <c r="L71" s="103">
        <f t="shared" si="11"/>
        <v>-1.2203274837722584</v>
      </c>
      <c r="M71" s="103">
        <f t="shared" si="2"/>
        <v>48.779672516227741</v>
      </c>
      <c r="N71" s="103">
        <f t="shared" si="3"/>
        <v>-1.2203274837722589</v>
      </c>
      <c r="O71" s="117">
        <f t="shared" si="4"/>
        <v>0</v>
      </c>
    </row>
    <row r="72" spans="1:15">
      <c r="A72" s="64">
        <v>59</v>
      </c>
      <c r="B72" s="159">
        <f t="shared" si="0"/>
        <v>20000</v>
      </c>
      <c r="C72" s="103">
        <f t="shared" si="5"/>
        <v>6263.6537701675679</v>
      </c>
      <c r="D72" s="103">
        <v>0</v>
      </c>
      <c r="E72" s="103">
        <f t="shared" si="6"/>
        <v>66.817551903333609</v>
      </c>
      <c r="F72" s="103">
        <f t="shared" si="7"/>
        <v>24.977112527169226</v>
      </c>
      <c r="G72" s="144">
        <f t="shared" si="8"/>
        <v>34.486898871648549</v>
      </c>
      <c r="H72" s="103">
        <f t="shared" si="12"/>
        <v>12.486898871648549</v>
      </c>
      <c r="I72" s="156">
        <f t="shared" si="1"/>
        <v>50</v>
      </c>
      <c r="J72" s="103">
        <f t="shared" si="9"/>
        <v>37.464011398817775</v>
      </c>
      <c r="K72" s="103">
        <f t="shared" si="10"/>
        <v>9.5097863444793234</v>
      </c>
      <c r="L72" s="103">
        <f t="shared" si="11"/>
        <v>-0.26934884932432601</v>
      </c>
      <c r="M72" s="103">
        <f t="shared" si="2"/>
        <v>49.730651150675676</v>
      </c>
      <c r="N72" s="103">
        <f t="shared" si="3"/>
        <v>-0.26934884932432368</v>
      </c>
      <c r="O72" s="117">
        <f t="shared" si="4"/>
        <v>0</v>
      </c>
    </row>
    <row r="73" spans="1:15">
      <c r="A73" s="64">
        <v>60</v>
      </c>
      <c r="B73" s="159">
        <f t="shared" si="0"/>
        <v>20000</v>
      </c>
      <c r="C73" s="103">
        <f t="shared" si="5"/>
        <v>6262.5881100569259</v>
      </c>
      <c r="D73" s="103">
        <v>0</v>
      </c>
      <c r="E73" s="103">
        <f t="shared" si="6"/>
        <v>67.139075027642548</v>
      </c>
      <c r="F73" s="103">
        <f t="shared" si="7"/>
        <v>24.978898866512115</v>
      </c>
      <c r="G73" s="144">
        <f t="shared" si="8"/>
        <v>35.090169943749473</v>
      </c>
      <c r="H73" s="103">
        <f t="shared" si="12"/>
        <v>13.090169943749475</v>
      </c>
      <c r="I73" s="156">
        <f t="shared" si="1"/>
        <v>50</v>
      </c>
      <c r="J73" s="103">
        <f t="shared" si="9"/>
        <v>38.069068810261591</v>
      </c>
      <c r="K73" s="103">
        <f t="shared" si="10"/>
        <v>10.111271077237358</v>
      </c>
      <c r="L73" s="103">
        <f t="shared" si="11"/>
        <v>0.74177825839940981</v>
      </c>
      <c r="M73" s="103">
        <f t="shared" si="2"/>
        <v>50.741778258399407</v>
      </c>
      <c r="N73" s="103">
        <f t="shared" si="3"/>
        <v>0.74177825839940681</v>
      </c>
      <c r="O73" s="117">
        <f t="shared" si="4"/>
        <v>0</v>
      </c>
    </row>
    <row r="74" spans="1:15">
      <c r="A74" s="64">
        <v>61</v>
      </c>
      <c r="B74" s="159">
        <f t="shared" si="0"/>
        <v>20000</v>
      </c>
      <c r="C74" s="103">
        <f t="shared" si="5"/>
        <v>6261.6056234183361</v>
      </c>
      <c r="D74" s="103">
        <v>0</v>
      </c>
      <c r="E74" s="103">
        <f t="shared" si="6"/>
        <v>67.452756124529316</v>
      </c>
      <c r="F74" s="103">
        <f t="shared" si="7"/>
        <v>24.980545784247756</v>
      </c>
      <c r="G74" s="144">
        <f t="shared" si="8"/>
        <v>35.68124552684678</v>
      </c>
      <c r="H74" s="103">
        <f t="shared" si="12"/>
        <v>13.68124552684678</v>
      </c>
      <c r="I74" s="156">
        <f t="shared" si="1"/>
        <v>50</v>
      </c>
      <c r="J74" s="103">
        <f t="shared" si="9"/>
        <v>38.661791311094532</v>
      </c>
      <c r="K74" s="103">
        <f t="shared" si="10"/>
        <v>10.700699742599024</v>
      </c>
      <c r="L74" s="103">
        <f t="shared" si="11"/>
        <v>1.8118482326593122</v>
      </c>
      <c r="M74" s="103">
        <f t="shared" si="2"/>
        <v>51.811848232659315</v>
      </c>
      <c r="N74" s="103">
        <f t="shared" si="3"/>
        <v>1.8118482326593153</v>
      </c>
      <c r="O74" s="117">
        <f t="shared" si="4"/>
        <v>0</v>
      </c>
    </row>
    <row r="75" spans="1:15">
      <c r="A75" s="64">
        <v>62</v>
      </c>
      <c r="B75" s="159">
        <f t="shared" si="0"/>
        <v>20000</v>
      </c>
      <c r="C75" s="103">
        <f t="shared" si="5"/>
        <v>6260.6998186637338</v>
      </c>
      <c r="D75" s="103">
        <v>0</v>
      </c>
      <c r="E75" s="103">
        <f t="shared" si="6"/>
        <v>67.758786462955442</v>
      </c>
      <c r="F75" s="103">
        <f t="shared" si="7"/>
        <v>24.982064162062567</v>
      </c>
      <c r="G75" s="144">
        <f t="shared" si="8"/>
        <v>36.257792915650725</v>
      </c>
      <c r="H75" s="103">
        <f t="shared" si="12"/>
        <v>14.257792915650727</v>
      </c>
      <c r="I75" s="156">
        <f t="shared" si="1"/>
        <v>50</v>
      </c>
      <c r="J75" s="103">
        <f t="shared" si="9"/>
        <v>39.239857077713296</v>
      </c>
      <c r="K75" s="103">
        <f t="shared" si="10"/>
        <v>11.275728753588158</v>
      </c>
      <c r="L75" s="103">
        <f t="shared" si="11"/>
        <v>2.9394211080181281</v>
      </c>
      <c r="M75" s="103">
        <f t="shared" si="2"/>
        <v>52.939421108018131</v>
      </c>
      <c r="N75" s="103">
        <f t="shared" si="3"/>
        <v>2.9394211080181307</v>
      </c>
      <c r="O75" s="117">
        <f t="shared" si="4"/>
        <v>0</v>
      </c>
    </row>
    <row r="76" spans="1:15">
      <c r="A76" s="64">
        <v>63</v>
      </c>
      <c r="B76" s="159">
        <f t="shared" si="0"/>
        <v>20000</v>
      </c>
      <c r="C76" s="103">
        <f t="shared" si="5"/>
        <v>6259.8647108655878</v>
      </c>
      <c r="D76" s="103">
        <v>0</v>
      </c>
      <c r="E76" s="103">
        <f t="shared" si="6"/>
        <v>68.057352646785802</v>
      </c>
      <c r="F76" s="103">
        <f t="shared" si="7"/>
        <v>24.983464032340613</v>
      </c>
      <c r="G76" s="144">
        <f t="shared" si="8"/>
        <v>36.81753674101715</v>
      </c>
      <c r="H76" s="103">
        <f t="shared" si="12"/>
        <v>14.817536741017154</v>
      </c>
      <c r="I76" s="156">
        <f t="shared" si="1"/>
        <v>50</v>
      </c>
      <c r="J76" s="103">
        <f t="shared" si="9"/>
        <v>39.801000773357771</v>
      </c>
      <c r="K76" s="103">
        <f t="shared" si="10"/>
        <v>11.834072708676537</v>
      </c>
      <c r="L76" s="103">
        <f t="shared" si="11"/>
        <v>4.1228283788857816</v>
      </c>
      <c r="M76" s="103">
        <f t="shared" si="2"/>
        <v>54.122828378885785</v>
      </c>
      <c r="N76" s="103">
        <f t="shared" si="3"/>
        <v>4.1228283788857851</v>
      </c>
      <c r="O76" s="117">
        <f t="shared" si="4"/>
        <v>0</v>
      </c>
    </row>
    <row r="77" spans="1:15">
      <c r="A77" s="64">
        <v>64</v>
      </c>
      <c r="B77" s="159">
        <f t="shared" ref="B77:B140" si="13">$C$2 +O76</f>
        <v>20000</v>
      </c>
      <c r="C77" s="103">
        <f t="shared" ref="C77:C140" si="14">B77-$O$5*F76</f>
        <v>6259.0947822126618</v>
      </c>
      <c r="D77" s="103">
        <v>0</v>
      </c>
      <c r="E77" s="103">
        <f t="shared" si="6"/>
        <v>68.34863672857152</v>
      </c>
      <c r="F77" s="103">
        <f t="shared" si="7"/>
        <v>24.984754644450618</v>
      </c>
      <c r="G77" s="144">
        <f t="shared" si="8"/>
        <v>37.358267949789969</v>
      </c>
      <c r="H77" s="103">
        <f t="shared" si="12"/>
        <v>15.358267949789969</v>
      </c>
      <c r="I77" s="156">
        <f t="shared" ref="I77:I140" si="15">$C$9</f>
        <v>50</v>
      </c>
      <c r="J77" s="103">
        <f t="shared" si="9"/>
        <v>40.343022594240587</v>
      </c>
      <c r="K77" s="103">
        <f t="shared" si="10"/>
        <v>12.373513305339351</v>
      </c>
      <c r="L77" s="103">
        <f t="shared" si="11"/>
        <v>5.3601797094197163</v>
      </c>
      <c r="M77" s="103">
        <f t="shared" ref="M77:M140" si="16">L77+I77</f>
        <v>55.360179709419718</v>
      </c>
      <c r="N77" s="103">
        <f t="shared" ref="N77:N140" si="17">M77-$C$7</f>
        <v>5.3601797094197181</v>
      </c>
      <c r="O77" s="117">
        <f t="shared" si="4"/>
        <v>0</v>
      </c>
    </row>
    <row r="78" spans="1:15">
      <c r="A78" s="64">
        <v>65</v>
      </c>
      <c r="B78" s="159">
        <f t="shared" si="13"/>
        <v>20000</v>
      </c>
      <c r="C78" s="103">
        <f t="shared" si="14"/>
        <v>6258.3849455521595</v>
      </c>
      <c r="D78" s="103">
        <v>0</v>
      </c>
      <c r="E78" s="103">
        <f t="shared" ref="E78:E141" si="18">($C$2*$C$4/$C$1-D78*$C$4/$C$1+E77)*$J$5</f>
        <v>68.632816320557581</v>
      </c>
      <c r="F78" s="103">
        <f t="shared" ref="F78:F141" si="19">(C78*$C$4/$C$1-D78*$C$4/$C$1+F77)*$J$5</f>
        <v>24.985944525859352</v>
      </c>
      <c r="G78" s="144">
        <f t="shared" ref="G78:G141" si="20">$F$12+H78</f>
        <v>37.877852522924726</v>
      </c>
      <c r="H78" s="103">
        <f t="shared" si="12"/>
        <v>15.87785252292473</v>
      </c>
      <c r="I78" s="156">
        <f t="shared" si="15"/>
        <v>50</v>
      </c>
      <c r="J78" s="103">
        <f t="shared" ref="J78:J141" si="21">F78+H78</f>
        <v>40.863797048784079</v>
      </c>
      <c r="K78" s="103">
        <f t="shared" ref="K78:K141" si="22">G78-F78</f>
        <v>12.891907997065374</v>
      </c>
      <c r="L78" s="103">
        <f t="shared" ref="L78:L141" si="23">K78*$C$4+L77</f>
        <v>6.6493705091262534</v>
      </c>
      <c r="M78" s="103">
        <f t="shared" si="16"/>
        <v>56.649370509126257</v>
      </c>
      <c r="N78" s="103">
        <f t="shared" si="17"/>
        <v>6.6493705091262569</v>
      </c>
      <c r="O78" s="117">
        <f t="shared" ref="O78:O141" si="24">N78*$O$6</f>
        <v>0</v>
      </c>
    </row>
    <row r="79" spans="1:15">
      <c r="A79" s="64">
        <v>66</v>
      </c>
      <c r="B79" s="159">
        <f t="shared" si="13"/>
        <v>20000</v>
      </c>
      <c r="C79" s="103">
        <f t="shared" si="14"/>
        <v>6257.7305107773554</v>
      </c>
      <c r="D79" s="103">
        <v>0</v>
      </c>
      <c r="E79" s="103">
        <f t="shared" si="18"/>
        <v>68.910064702983007</v>
      </c>
      <c r="F79" s="103">
        <f t="shared" si="19"/>
        <v>24.987041538475211</v>
      </c>
      <c r="G79" s="144">
        <f t="shared" si="20"/>
        <v>38.374239897486902</v>
      </c>
      <c r="H79" s="103">
        <f t="shared" si="12"/>
        <v>16.374239897486898</v>
      </c>
      <c r="I79" s="156">
        <f t="shared" si="15"/>
        <v>50</v>
      </c>
      <c r="J79" s="103">
        <f t="shared" si="21"/>
        <v>41.361281435962113</v>
      </c>
      <c r="K79" s="103">
        <f t="shared" si="22"/>
        <v>13.387198359011691</v>
      </c>
      <c r="L79" s="103">
        <f t="shared" si="23"/>
        <v>7.9880903450274223</v>
      </c>
      <c r="M79" s="103">
        <f t="shared" si="16"/>
        <v>57.988090345027423</v>
      </c>
      <c r="N79" s="103">
        <f t="shared" si="17"/>
        <v>7.9880903450274232</v>
      </c>
      <c r="O79" s="117">
        <f t="shared" si="24"/>
        <v>0</v>
      </c>
    </row>
    <row r="80" spans="1:15">
      <c r="A80" s="64">
        <v>67</v>
      </c>
      <c r="B80" s="159">
        <f t="shared" si="13"/>
        <v>20000</v>
      </c>
      <c r="C80" s="103">
        <f t="shared" si="14"/>
        <v>6257.1271538386336</v>
      </c>
      <c r="D80" s="103">
        <v>0</v>
      </c>
      <c r="E80" s="103">
        <f t="shared" si="18"/>
        <v>69.180550929739525</v>
      </c>
      <c r="F80" s="103">
        <f t="shared" si="19"/>
        <v>24.988052930594218</v>
      </c>
      <c r="G80" s="144">
        <f t="shared" si="20"/>
        <v>38.845471059286893</v>
      </c>
      <c r="H80" s="103">
        <f t="shared" si="12"/>
        <v>16.845471059286893</v>
      </c>
      <c r="I80" s="156">
        <f t="shared" si="15"/>
        <v>50</v>
      </c>
      <c r="J80" s="103">
        <f t="shared" si="21"/>
        <v>41.833523989881115</v>
      </c>
      <c r="K80" s="103">
        <f t="shared" si="22"/>
        <v>13.857418128692675</v>
      </c>
      <c r="L80" s="103">
        <f t="shared" si="23"/>
        <v>9.3738321578966897</v>
      </c>
      <c r="M80" s="103">
        <f t="shared" si="16"/>
        <v>59.373832157896686</v>
      </c>
      <c r="N80" s="103">
        <f t="shared" si="17"/>
        <v>9.3738321578966861</v>
      </c>
      <c r="O80" s="117">
        <f t="shared" si="24"/>
        <v>0</v>
      </c>
    </row>
    <row r="81" spans="1:15">
      <c r="A81" s="64">
        <v>68</v>
      </c>
      <c r="B81" s="159">
        <f t="shared" si="13"/>
        <v>20000</v>
      </c>
      <c r="C81" s="103">
        <f t="shared" si="14"/>
        <v>6256.5708881731807</v>
      </c>
      <c r="D81" s="103">
        <v>0</v>
      </c>
      <c r="E81" s="103">
        <f t="shared" si="18"/>
        <v>69.444439931453203</v>
      </c>
      <c r="F81" s="103">
        <f t="shared" si="19"/>
        <v>24.988985384791743</v>
      </c>
      <c r="G81" s="144">
        <f t="shared" si="20"/>
        <v>39.28968627421412</v>
      </c>
      <c r="H81" s="103">
        <f t="shared" si="12"/>
        <v>17.28968627421412</v>
      </c>
      <c r="I81" s="156">
        <f t="shared" si="15"/>
        <v>50</v>
      </c>
      <c r="J81" s="103">
        <f t="shared" si="21"/>
        <v>42.278671659005866</v>
      </c>
      <c r="K81" s="103">
        <f t="shared" si="22"/>
        <v>14.300700889422377</v>
      </c>
      <c r="L81" s="103">
        <f t="shared" si="23"/>
        <v>10.803902246838927</v>
      </c>
      <c r="M81" s="103">
        <f t="shared" si="16"/>
        <v>60.803902246838931</v>
      </c>
      <c r="N81" s="103">
        <f t="shared" si="17"/>
        <v>10.803902246838931</v>
      </c>
      <c r="O81" s="117">
        <f t="shared" si="24"/>
        <v>0</v>
      </c>
    </row>
    <row r="82" spans="1:15">
      <c r="A82" s="64">
        <v>69</v>
      </c>
      <c r="B82" s="159">
        <f t="shared" si="13"/>
        <v>20000</v>
      </c>
      <c r="C82" s="103">
        <f t="shared" si="14"/>
        <v>6256.0580383645411</v>
      </c>
      <c r="D82" s="103">
        <v>0</v>
      </c>
      <c r="E82" s="103">
        <f t="shared" si="18"/>
        <v>69.701892616051907</v>
      </c>
      <c r="F82" s="103">
        <f t="shared" si="19"/>
        <v>24.989845062076292</v>
      </c>
      <c r="G82" s="144">
        <f t="shared" si="20"/>
        <v>39.705132427757896</v>
      </c>
      <c r="H82" s="103">
        <f t="shared" si="12"/>
        <v>17.705132427757896</v>
      </c>
      <c r="I82" s="156">
        <f t="shared" si="15"/>
        <v>50</v>
      </c>
      <c r="J82" s="103">
        <f t="shared" si="21"/>
        <v>42.694977489834187</v>
      </c>
      <c r="K82" s="103">
        <f t="shared" si="22"/>
        <v>14.715287365681604</v>
      </c>
      <c r="L82" s="103">
        <f t="shared" si="23"/>
        <v>12.275430983407087</v>
      </c>
      <c r="M82" s="103">
        <f t="shared" si="16"/>
        <v>62.275430983407091</v>
      </c>
      <c r="N82" s="103">
        <f t="shared" si="17"/>
        <v>12.275430983407091</v>
      </c>
      <c r="O82" s="117">
        <f t="shared" si="24"/>
        <v>0</v>
      </c>
    </row>
    <row r="83" spans="1:15">
      <c r="A83" s="64">
        <v>70</v>
      </c>
      <c r="B83" s="159">
        <f t="shared" si="13"/>
        <v>20000</v>
      </c>
      <c r="C83" s="103">
        <f t="shared" si="14"/>
        <v>6255.5852158580401</v>
      </c>
      <c r="D83" s="103">
        <v>0</v>
      </c>
      <c r="E83" s="103">
        <f t="shared" si="18"/>
        <v>69.953065966879919</v>
      </c>
      <c r="F83" s="103">
        <f t="shared" si="19"/>
        <v>24.990637642597171</v>
      </c>
      <c r="G83" s="144">
        <f t="shared" si="20"/>
        <v>40.090169943749473</v>
      </c>
      <c r="H83" s="103">
        <f t="shared" si="12"/>
        <v>18.090169943749473</v>
      </c>
      <c r="I83" s="156">
        <f t="shared" si="15"/>
        <v>50</v>
      </c>
      <c r="J83" s="103">
        <f t="shared" si="21"/>
        <v>43.080807586346644</v>
      </c>
      <c r="K83" s="103">
        <f t="shared" si="22"/>
        <v>15.099532301152301</v>
      </c>
      <c r="L83" s="103">
        <f t="shared" si="23"/>
        <v>13.785384213522317</v>
      </c>
      <c r="M83" s="103">
        <f t="shared" si="16"/>
        <v>63.78538421352232</v>
      </c>
      <c r="N83" s="103">
        <f t="shared" si="17"/>
        <v>13.78538421352232</v>
      </c>
      <c r="O83" s="117">
        <f t="shared" si="24"/>
        <v>0</v>
      </c>
    </row>
    <row r="84" spans="1:15">
      <c r="A84" s="64">
        <v>71</v>
      </c>
      <c r="B84" s="159">
        <f t="shared" si="13"/>
        <v>20000</v>
      </c>
      <c r="C84" s="103">
        <f t="shared" si="14"/>
        <v>6255.1492965715552</v>
      </c>
      <c r="D84" s="103">
        <v>0</v>
      </c>
      <c r="E84" s="103">
        <f t="shared" si="18"/>
        <v>70.198113138419444</v>
      </c>
      <c r="F84" s="103">
        <f t="shared" si="19"/>
        <v>24.991368363174956</v>
      </c>
      <c r="G84" s="144">
        <f t="shared" si="20"/>
        <v>22</v>
      </c>
      <c r="H84" s="103">
        <v>0</v>
      </c>
      <c r="I84" s="156">
        <f t="shared" si="15"/>
        <v>50</v>
      </c>
      <c r="J84" s="103">
        <f t="shared" si="21"/>
        <v>24.991368363174956</v>
      </c>
      <c r="K84" s="103">
        <f t="shared" si="22"/>
        <v>-2.9913683631749564</v>
      </c>
      <c r="L84" s="103">
        <f t="shared" si="23"/>
        <v>13.486247377204821</v>
      </c>
      <c r="M84" s="103">
        <f t="shared" si="16"/>
        <v>63.486247377204819</v>
      </c>
      <c r="N84" s="103">
        <f t="shared" si="17"/>
        <v>13.486247377204819</v>
      </c>
      <c r="O84" s="117">
        <f t="shared" si="24"/>
        <v>0</v>
      </c>
    </row>
    <row r="85" spans="1:15">
      <c r="A85" s="64">
        <v>72</v>
      </c>
      <c r="B85" s="159">
        <f t="shared" si="13"/>
        <v>20000</v>
      </c>
      <c r="C85" s="103">
        <f t="shared" si="14"/>
        <v>6254.7474002537747</v>
      </c>
      <c r="D85" s="103">
        <v>0</v>
      </c>
      <c r="E85" s="103">
        <f t="shared" si="18"/>
        <v>70.437183549677513</v>
      </c>
      <c r="F85" s="103">
        <f t="shared" si="19"/>
        <v>24.992042051902768</v>
      </c>
      <c r="G85" s="144">
        <f t="shared" si="20"/>
        <v>22</v>
      </c>
      <c r="H85" s="103">
        <v>0</v>
      </c>
      <c r="I85" s="156">
        <f t="shared" si="15"/>
        <v>50</v>
      </c>
      <c r="J85" s="103">
        <f t="shared" si="21"/>
        <v>24.992042051902768</v>
      </c>
      <c r="K85" s="103">
        <f t="shared" si="22"/>
        <v>-2.992042051902768</v>
      </c>
      <c r="L85" s="103">
        <f t="shared" si="23"/>
        <v>13.187043172014544</v>
      </c>
      <c r="M85" s="103">
        <f t="shared" si="16"/>
        <v>63.18704317201454</v>
      </c>
      <c r="N85" s="103">
        <f t="shared" si="17"/>
        <v>13.18704317201454</v>
      </c>
      <c r="O85" s="117">
        <f t="shared" si="24"/>
        <v>0</v>
      </c>
    </row>
    <row r="86" spans="1:15">
      <c r="A86" s="64">
        <v>73</v>
      </c>
      <c r="B86" s="159">
        <f t="shared" si="13"/>
        <v>20000</v>
      </c>
      <c r="C86" s="103">
        <f t="shared" si="14"/>
        <v>6254.3768714534781</v>
      </c>
      <c r="D86" s="103">
        <v>0</v>
      </c>
      <c r="E86" s="103">
        <f t="shared" si="18"/>
        <v>70.670422975295139</v>
      </c>
      <c r="F86" s="103">
        <f t="shared" si="19"/>
        <v>24.992663160046945</v>
      </c>
      <c r="G86" s="144">
        <f t="shared" si="20"/>
        <v>22</v>
      </c>
      <c r="H86" s="103">
        <v>0</v>
      </c>
      <c r="I86" s="156">
        <f t="shared" si="15"/>
        <v>50</v>
      </c>
      <c r="J86" s="103">
        <f t="shared" si="21"/>
        <v>24.992663160046945</v>
      </c>
      <c r="K86" s="103">
        <f t="shared" si="22"/>
        <v>-2.9926631600469449</v>
      </c>
      <c r="L86" s="103">
        <f t="shared" si="23"/>
        <v>12.88777685600985</v>
      </c>
      <c r="M86" s="103">
        <f t="shared" si="16"/>
        <v>62.88777685600985</v>
      </c>
      <c r="N86" s="103">
        <f t="shared" si="17"/>
        <v>12.88777685600985</v>
      </c>
      <c r="O86" s="117">
        <f t="shared" si="24"/>
        <v>0</v>
      </c>
    </row>
    <row r="87" spans="1:15">
      <c r="A87" s="64">
        <v>74</v>
      </c>
      <c r="B87" s="159">
        <f t="shared" si="13"/>
        <v>20000</v>
      </c>
      <c r="C87" s="103">
        <f t="shared" si="14"/>
        <v>6254.0352619741807</v>
      </c>
      <c r="D87" s="103">
        <v>0</v>
      </c>
      <c r="E87" s="103">
        <f t="shared" si="18"/>
        <v>70.897973634434294</v>
      </c>
      <c r="F87" s="103">
        <f t="shared" si="19"/>
        <v>24.993235791457916</v>
      </c>
      <c r="G87" s="144">
        <f t="shared" si="20"/>
        <v>22</v>
      </c>
      <c r="H87" s="103">
        <v>0</v>
      </c>
      <c r="I87" s="156">
        <f t="shared" si="15"/>
        <v>50</v>
      </c>
      <c r="J87" s="103">
        <f t="shared" si="21"/>
        <v>24.993235791457916</v>
      </c>
      <c r="K87" s="103">
        <f t="shared" si="22"/>
        <v>-2.9932357914579164</v>
      </c>
      <c r="L87" s="103">
        <f t="shared" si="23"/>
        <v>12.588453276864058</v>
      </c>
      <c r="M87" s="103">
        <f t="shared" si="16"/>
        <v>62.588453276864058</v>
      </c>
      <c r="N87" s="103">
        <f t="shared" si="17"/>
        <v>12.588453276864058</v>
      </c>
      <c r="O87" s="117">
        <f t="shared" si="24"/>
        <v>0</v>
      </c>
    </row>
    <row r="88" spans="1:15">
      <c r="A88" s="64">
        <v>75</v>
      </c>
      <c r="B88" s="159">
        <f t="shared" si="13"/>
        <v>20000</v>
      </c>
      <c r="C88" s="103">
        <f t="shared" si="14"/>
        <v>6253.7203146981465</v>
      </c>
      <c r="D88" s="103">
        <v>0</v>
      </c>
      <c r="E88" s="103">
        <f t="shared" si="18"/>
        <v>71.11997427749688</v>
      </c>
      <c r="F88" s="103">
        <f t="shared" si="19"/>
        <v>24.993763729685593</v>
      </c>
      <c r="G88" s="144">
        <f t="shared" si="20"/>
        <v>22</v>
      </c>
      <c r="H88" s="103">
        <v>0</v>
      </c>
      <c r="I88" s="156">
        <f t="shared" si="15"/>
        <v>50</v>
      </c>
      <c r="J88" s="103">
        <f t="shared" si="21"/>
        <v>24.993763729685593</v>
      </c>
      <c r="K88" s="103">
        <f t="shared" si="22"/>
        <v>-2.9937637296855932</v>
      </c>
      <c r="L88" s="103">
        <f t="shared" si="23"/>
        <v>12.289076903895499</v>
      </c>
      <c r="M88" s="103">
        <f t="shared" si="16"/>
        <v>62.289076903895499</v>
      </c>
      <c r="N88" s="103">
        <f t="shared" si="17"/>
        <v>12.289076903895499</v>
      </c>
      <c r="O88" s="117">
        <f t="shared" si="24"/>
        <v>0</v>
      </c>
    </row>
    <row r="89" spans="1:15">
      <c r="A89" s="64">
        <v>76</v>
      </c>
      <c r="B89" s="159">
        <f t="shared" si="13"/>
        <v>20000</v>
      </c>
      <c r="C89" s="103">
        <f t="shared" si="14"/>
        <v>6253.4299486729233</v>
      </c>
      <c r="D89" s="103">
        <v>0</v>
      </c>
      <c r="E89" s="103">
        <f t="shared" si="18"/>
        <v>71.336560270728668</v>
      </c>
      <c r="F89" s="103">
        <f t="shared" si="19"/>
        <v>24.994250462978428</v>
      </c>
      <c r="G89" s="144">
        <f t="shared" si="20"/>
        <v>22</v>
      </c>
      <c r="H89" s="103">
        <v>0</v>
      </c>
      <c r="I89" s="156">
        <f t="shared" si="15"/>
        <v>50</v>
      </c>
      <c r="J89" s="103">
        <f t="shared" si="21"/>
        <v>24.994250462978428</v>
      </c>
      <c r="K89" s="103">
        <f t="shared" si="22"/>
        <v>-2.9942504629784281</v>
      </c>
      <c r="L89" s="103">
        <f t="shared" si="23"/>
        <v>11.989651857597655</v>
      </c>
      <c r="M89" s="103">
        <f t="shared" si="16"/>
        <v>61.989651857597657</v>
      </c>
      <c r="N89" s="103">
        <f t="shared" si="17"/>
        <v>11.989651857597657</v>
      </c>
      <c r="O89" s="117">
        <f t="shared" si="24"/>
        <v>0</v>
      </c>
    </row>
    <row r="90" spans="1:15">
      <c r="A90" s="64">
        <v>77</v>
      </c>
      <c r="B90" s="159">
        <f t="shared" si="13"/>
        <v>20000</v>
      </c>
      <c r="C90" s="103">
        <f t="shared" si="14"/>
        <v>6253.1622453618638</v>
      </c>
      <c r="D90" s="103">
        <v>0</v>
      </c>
      <c r="E90" s="103">
        <f t="shared" si="18"/>
        <v>71.547863678759683</v>
      </c>
      <c r="F90" s="103">
        <f t="shared" si="19"/>
        <v>24.994699207331333</v>
      </c>
      <c r="G90" s="144">
        <f t="shared" si="20"/>
        <v>22</v>
      </c>
      <c r="H90" s="103">
        <v>0</v>
      </c>
      <c r="I90" s="156">
        <f t="shared" si="15"/>
        <v>50</v>
      </c>
      <c r="J90" s="103">
        <f t="shared" si="21"/>
        <v>24.994699207331333</v>
      </c>
      <c r="K90" s="103">
        <f t="shared" si="22"/>
        <v>-2.9946992073313332</v>
      </c>
      <c r="L90" s="103">
        <f t="shared" si="23"/>
        <v>11.690181936864523</v>
      </c>
      <c r="M90" s="103">
        <f t="shared" si="16"/>
        <v>61.690181936864519</v>
      </c>
      <c r="N90" s="103">
        <f t="shared" si="17"/>
        <v>11.690181936864519</v>
      </c>
      <c r="O90" s="117">
        <f t="shared" si="24"/>
        <v>0</v>
      </c>
    </row>
    <row r="91" spans="1:15">
      <c r="A91" s="64">
        <v>78</v>
      </c>
      <c r="B91" s="159">
        <f t="shared" si="13"/>
        <v>20000</v>
      </c>
      <c r="C91" s="103">
        <f t="shared" si="14"/>
        <v>6252.9154359677668</v>
      </c>
      <c r="D91" s="103">
        <v>0</v>
      </c>
      <c r="E91" s="103">
        <f t="shared" si="18"/>
        <v>71.754013345131398</v>
      </c>
      <c r="F91" s="103">
        <f t="shared" si="19"/>
        <v>24.995112927734745</v>
      </c>
      <c r="G91" s="144">
        <f t="shared" si="20"/>
        <v>22</v>
      </c>
      <c r="H91" s="103">
        <v>0</v>
      </c>
      <c r="I91" s="156">
        <f t="shared" si="15"/>
        <v>50</v>
      </c>
      <c r="J91" s="103">
        <f t="shared" si="21"/>
        <v>24.995112927734745</v>
      </c>
      <c r="K91" s="103">
        <f t="shared" si="22"/>
        <v>-2.9951129277347448</v>
      </c>
      <c r="L91" s="103">
        <f t="shared" si="23"/>
        <v>11.390670644091049</v>
      </c>
      <c r="M91" s="103">
        <f t="shared" si="16"/>
        <v>61.390670644091045</v>
      </c>
      <c r="N91" s="103">
        <f t="shared" si="17"/>
        <v>11.390670644091045</v>
      </c>
      <c r="O91" s="117">
        <f t="shared" si="24"/>
        <v>0</v>
      </c>
    </row>
    <row r="92" spans="1:15">
      <c r="A92" s="64">
        <v>79</v>
      </c>
      <c r="B92" s="159">
        <f t="shared" si="13"/>
        <v>20000</v>
      </c>
      <c r="C92" s="103">
        <f t="shared" si="14"/>
        <v>6252.6878897458901</v>
      </c>
      <c r="D92" s="103">
        <v>0</v>
      </c>
      <c r="E92" s="103">
        <f t="shared" si="18"/>
        <v>71.955134970859902</v>
      </c>
      <c r="F92" s="103">
        <f t="shared" si="19"/>
        <v>24.995494357765207</v>
      </c>
      <c r="G92" s="144">
        <f t="shared" si="20"/>
        <v>22</v>
      </c>
      <c r="H92" s="103">
        <v>0</v>
      </c>
      <c r="I92" s="156">
        <f t="shared" si="15"/>
        <v>50</v>
      </c>
      <c r="J92" s="103">
        <f t="shared" si="21"/>
        <v>24.995494357765207</v>
      </c>
      <c r="K92" s="103">
        <f t="shared" si="22"/>
        <v>-2.9954943577652067</v>
      </c>
      <c r="L92" s="103">
        <f t="shared" si="23"/>
        <v>11.091121208314528</v>
      </c>
      <c r="M92" s="103">
        <f t="shared" si="16"/>
        <v>61.091121208314526</v>
      </c>
      <c r="N92" s="103">
        <f t="shared" si="17"/>
        <v>11.091121208314526</v>
      </c>
      <c r="O92" s="117">
        <f t="shared" si="24"/>
        <v>0</v>
      </c>
    </row>
    <row r="93" spans="1:15">
      <c r="A93" s="64">
        <v>80</v>
      </c>
      <c r="B93" s="159">
        <f t="shared" si="13"/>
        <v>20000</v>
      </c>
      <c r="C93" s="103">
        <f t="shared" si="14"/>
        <v>6252.4781032291357</v>
      </c>
      <c r="D93" s="103">
        <v>0</v>
      </c>
      <c r="E93" s="103">
        <f t="shared" si="18"/>
        <v>72.151351191082838</v>
      </c>
      <c r="F93" s="103">
        <f t="shared" si="19"/>
        <v>24.995846017646951</v>
      </c>
      <c r="G93" s="144">
        <f t="shared" si="20"/>
        <v>22</v>
      </c>
      <c r="H93" s="103">
        <v>0</v>
      </c>
      <c r="I93" s="156">
        <f t="shared" si="15"/>
        <v>50</v>
      </c>
      <c r="J93" s="103">
        <f t="shared" si="21"/>
        <v>24.995846017646951</v>
      </c>
      <c r="K93" s="103">
        <f t="shared" si="22"/>
        <v>-2.9958460176469508</v>
      </c>
      <c r="L93" s="103">
        <f t="shared" si="23"/>
        <v>10.791536606549833</v>
      </c>
      <c r="M93" s="103">
        <f t="shared" si="16"/>
        <v>60.791536606549833</v>
      </c>
      <c r="N93" s="103">
        <f t="shared" si="17"/>
        <v>10.791536606549833</v>
      </c>
      <c r="O93" s="117">
        <f t="shared" si="24"/>
        <v>0</v>
      </c>
    </row>
    <row r="94" spans="1:15">
      <c r="A94" s="64">
        <v>81</v>
      </c>
      <c r="B94" s="159">
        <f t="shared" si="13"/>
        <v>20000</v>
      </c>
      <c r="C94" s="103">
        <f t="shared" si="14"/>
        <v>6252.2846902941765</v>
      </c>
      <c r="D94" s="103">
        <v>0</v>
      </c>
      <c r="E94" s="103">
        <f t="shared" si="18"/>
        <v>72.342781649836922</v>
      </c>
      <c r="F94" s="103">
        <f t="shared" si="19"/>
        <v>24.996170230903775</v>
      </c>
      <c r="G94" s="144">
        <f t="shared" si="20"/>
        <v>22</v>
      </c>
      <c r="H94" s="103">
        <v>0</v>
      </c>
      <c r="I94" s="156">
        <f t="shared" si="15"/>
        <v>50</v>
      </c>
      <c r="J94" s="103">
        <f t="shared" si="21"/>
        <v>24.996170230903775</v>
      </c>
      <c r="K94" s="103">
        <f t="shared" si="22"/>
        <v>-2.9961702309037754</v>
      </c>
      <c r="L94" s="103">
        <f t="shared" si="23"/>
        <v>10.491919583459456</v>
      </c>
      <c r="M94" s="103">
        <f t="shared" si="16"/>
        <v>60.491919583459456</v>
      </c>
      <c r="N94" s="103">
        <f t="shared" si="17"/>
        <v>10.491919583459456</v>
      </c>
      <c r="O94" s="117">
        <f t="shared" si="24"/>
        <v>0</v>
      </c>
    </row>
    <row r="95" spans="1:15">
      <c r="A95" s="64">
        <v>82</v>
      </c>
      <c r="B95" s="159">
        <f t="shared" si="13"/>
        <v>20000</v>
      </c>
      <c r="C95" s="103">
        <f t="shared" si="14"/>
        <v>6252.1063730029236</v>
      </c>
      <c r="D95" s="103">
        <v>0</v>
      </c>
      <c r="E95" s="103">
        <f t="shared" si="18"/>
        <v>72.529543073011638</v>
      </c>
      <c r="F95" s="103">
        <f t="shared" si="19"/>
        <v>24.996469139711287</v>
      </c>
      <c r="G95" s="144">
        <f t="shared" si="20"/>
        <v>22</v>
      </c>
      <c r="H95" s="103">
        <v>0</v>
      </c>
      <c r="I95" s="156">
        <f t="shared" si="15"/>
        <v>50</v>
      </c>
      <c r="J95" s="103">
        <f t="shared" si="21"/>
        <v>24.996469139711287</v>
      </c>
      <c r="K95" s="103">
        <f t="shared" si="22"/>
        <v>-2.9964691397112873</v>
      </c>
      <c r="L95" s="103">
        <f t="shared" si="23"/>
        <v>10.192272669488327</v>
      </c>
      <c r="M95" s="103">
        <f t="shared" si="16"/>
        <v>60.192272669488325</v>
      </c>
      <c r="N95" s="103">
        <f t="shared" si="17"/>
        <v>10.192272669488325</v>
      </c>
      <c r="O95" s="117">
        <f t="shared" si="24"/>
        <v>0</v>
      </c>
    </row>
    <row r="96" spans="1:15">
      <c r="A96" s="64">
        <v>83</v>
      </c>
      <c r="B96" s="159">
        <f t="shared" si="13"/>
        <v>20000</v>
      </c>
      <c r="C96" s="103">
        <f t="shared" si="14"/>
        <v>6251.9419731587914</v>
      </c>
      <c r="D96" s="103">
        <v>0</v>
      </c>
      <c r="E96" s="103">
        <f t="shared" si="18"/>
        <v>72.71174933952355</v>
      </c>
      <c r="F96" s="103">
        <f t="shared" si="19"/>
        <v>24.996744719050895</v>
      </c>
      <c r="G96" s="144">
        <f t="shared" si="20"/>
        <v>22</v>
      </c>
      <c r="H96" s="103">
        <v>0</v>
      </c>
      <c r="I96" s="156">
        <f t="shared" si="15"/>
        <v>50</v>
      </c>
      <c r="J96" s="103">
        <f t="shared" si="21"/>
        <v>24.996744719050895</v>
      </c>
      <c r="K96" s="103">
        <f t="shared" si="22"/>
        <v>-2.9967447190508949</v>
      </c>
      <c r="L96" s="103">
        <f t="shared" si="23"/>
        <v>9.8925981975832382</v>
      </c>
      <c r="M96" s="103">
        <f t="shared" si="16"/>
        <v>59.89259819758324</v>
      </c>
      <c r="N96" s="103">
        <f t="shared" si="17"/>
        <v>9.89259819758324</v>
      </c>
      <c r="O96" s="117">
        <f t="shared" si="24"/>
        <v>0</v>
      </c>
    </row>
    <row r="97" spans="1:15">
      <c r="A97" s="64">
        <v>84</v>
      </c>
      <c r="B97" s="159">
        <f t="shared" si="13"/>
        <v>20000</v>
      </c>
      <c r="C97" s="103">
        <f t="shared" si="14"/>
        <v>6251.7904045220075</v>
      </c>
      <c r="D97" s="103">
        <v>0</v>
      </c>
      <c r="E97" s="103">
        <f t="shared" si="18"/>
        <v>72.88951155075469</v>
      </c>
      <c r="F97" s="103">
        <f t="shared" si="19"/>
        <v>24.996998789759118</v>
      </c>
      <c r="G97" s="144">
        <f t="shared" si="20"/>
        <v>22</v>
      </c>
      <c r="H97" s="103">
        <v>0</v>
      </c>
      <c r="I97" s="156">
        <f t="shared" si="15"/>
        <v>50</v>
      </c>
      <c r="J97" s="103">
        <f t="shared" si="21"/>
        <v>24.996998789759118</v>
      </c>
      <c r="K97" s="103">
        <f t="shared" si="22"/>
        <v>-2.9969987897591182</v>
      </c>
      <c r="L97" s="103">
        <f t="shared" si="23"/>
        <v>9.5928983186073271</v>
      </c>
      <c r="M97" s="103">
        <f t="shared" si="16"/>
        <v>59.592898318607325</v>
      </c>
      <c r="N97" s="103">
        <f t="shared" si="17"/>
        <v>9.5928983186073253</v>
      </c>
      <c r="O97" s="117">
        <f t="shared" si="24"/>
        <v>0</v>
      </c>
    </row>
    <row r="98" spans="1:15">
      <c r="A98" s="64">
        <v>85</v>
      </c>
      <c r="B98" s="159">
        <f t="shared" si="13"/>
        <v>20000</v>
      </c>
      <c r="C98" s="103">
        <f t="shared" si="14"/>
        <v>6251.6506656324855</v>
      </c>
      <c r="D98" s="103">
        <v>0</v>
      </c>
      <c r="E98" s="103">
        <f t="shared" si="18"/>
        <v>73.062938098297266</v>
      </c>
      <c r="F98" s="103">
        <f t="shared" si="19"/>
        <v>24.997233030558409</v>
      </c>
      <c r="G98" s="144">
        <f t="shared" si="20"/>
        <v>22</v>
      </c>
      <c r="H98" s="103">
        <v>0</v>
      </c>
      <c r="I98" s="156">
        <f t="shared" si="15"/>
        <v>50</v>
      </c>
      <c r="J98" s="103">
        <f t="shared" si="21"/>
        <v>24.997233030558409</v>
      </c>
      <c r="K98" s="103">
        <f t="shared" si="22"/>
        <v>-2.9972330305584087</v>
      </c>
      <c r="L98" s="103">
        <f t="shared" si="23"/>
        <v>9.293175015551487</v>
      </c>
      <c r="M98" s="103">
        <f t="shared" si="16"/>
        <v>59.293175015551483</v>
      </c>
      <c r="N98" s="103">
        <f t="shared" si="17"/>
        <v>9.2931750155514834</v>
      </c>
      <c r="O98" s="117">
        <f t="shared" si="24"/>
        <v>0</v>
      </c>
    </row>
    <row r="99" spans="1:15">
      <c r="A99" s="64">
        <v>86</v>
      </c>
      <c r="B99" s="159">
        <f t="shared" si="13"/>
        <v>20000</v>
      </c>
      <c r="C99" s="103">
        <f t="shared" si="14"/>
        <v>6251.5218331928754</v>
      </c>
      <c r="D99" s="103">
        <v>0</v>
      </c>
      <c r="E99" s="103">
        <f t="shared" si="18"/>
        <v>73.232134730046127</v>
      </c>
      <c r="F99" s="103">
        <f t="shared" si="19"/>
        <v>24.997448989148975</v>
      </c>
      <c r="G99" s="144">
        <f t="shared" si="20"/>
        <v>22</v>
      </c>
      <c r="H99" s="103">
        <v>0</v>
      </c>
      <c r="I99" s="156">
        <f t="shared" si="15"/>
        <v>50</v>
      </c>
      <c r="J99" s="103">
        <f t="shared" si="21"/>
        <v>24.997448989148975</v>
      </c>
      <c r="K99" s="103">
        <f t="shared" si="22"/>
        <v>-2.9974489891489746</v>
      </c>
      <c r="L99" s="103">
        <f t="shared" si="23"/>
        <v>8.9934301166365902</v>
      </c>
      <c r="M99" s="103">
        <f t="shared" si="16"/>
        <v>58.993430116636588</v>
      </c>
      <c r="N99" s="103">
        <f t="shared" si="17"/>
        <v>8.9934301166365884</v>
      </c>
      <c r="O99" s="117">
        <f t="shared" si="24"/>
        <v>0</v>
      </c>
    </row>
    <row r="100" spans="1:15">
      <c r="A100" s="64">
        <v>87</v>
      </c>
      <c r="B100" s="159">
        <f t="shared" si="13"/>
        <v>20000</v>
      </c>
      <c r="C100" s="103">
        <f t="shared" si="14"/>
        <v>6251.4030559680632</v>
      </c>
      <c r="D100" s="103">
        <v>0</v>
      </c>
      <c r="E100" s="103">
        <f t="shared" si="18"/>
        <v>73.397204614679154</v>
      </c>
      <c r="F100" s="103">
        <f t="shared" si="19"/>
        <v>24.997648092434908</v>
      </c>
      <c r="G100" s="144">
        <f t="shared" si="20"/>
        <v>22</v>
      </c>
      <c r="H100" s="103">
        <v>0</v>
      </c>
      <c r="I100" s="156">
        <f t="shared" si="15"/>
        <v>50</v>
      </c>
      <c r="J100" s="103">
        <f t="shared" si="21"/>
        <v>24.997648092434908</v>
      </c>
      <c r="K100" s="103">
        <f t="shared" si="22"/>
        <v>-2.9976480924349076</v>
      </c>
      <c r="L100" s="103">
        <f t="shared" si="23"/>
        <v>8.6936653073930987</v>
      </c>
      <c r="M100" s="103">
        <f t="shared" si="16"/>
        <v>58.693665307393097</v>
      </c>
      <c r="N100" s="103">
        <f t="shared" si="17"/>
        <v>8.693665307393097</v>
      </c>
      <c r="O100" s="117">
        <f t="shared" si="24"/>
        <v>0</v>
      </c>
    </row>
    <row r="101" spans="1:15">
      <c r="A101" s="64">
        <v>88</v>
      </c>
      <c r="B101" s="159">
        <f t="shared" si="13"/>
        <v>20000</v>
      </c>
      <c r="C101" s="103">
        <f t="shared" si="14"/>
        <v>6251.2935491608005</v>
      </c>
      <c r="D101" s="103">
        <v>0</v>
      </c>
      <c r="E101" s="103">
        <f t="shared" si="18"/>
        <v>73.558248404565035</v>
      </c>
      <c r="F101" s="103">
        <f t="shared" si="19"/>
        <v>24.997831655952186</v>
      </c>
      <c r="G101" s="144">
        <f t="shared" si="20"/>
        <v>22</v>
      </c>
      <c r="H101" s="103">
        <v>0</v>
      </c>
      <c r="I101" s="156">
        <f t="shared" si="15"/>
        <v>50</v>
      </c>
      <c r="J101" s="103">
        <f t="shared" si="21"/>
        <v>24.997831655952186</v>
      </c>
      <c r="K101" s="103">
        <f t="shared" si="22"/>
        <v>-2.9978316559521865</v>
      </c>
      <c r="L101" s="103">
        <f t="shared" si="23"/>
        <v>8.3938821417978797</v>
      </c>
      <c r="M101" s="103">
        <f t="shared" si="16"/>
        <v>58.393882141797882</v>
      </c>
      <c r="N101" s="103">
        <f t="shared" si="17"/>
        <v>8.3938821417978815</v>
      </c>
      <c r="O101" s="117">
        <f t="shared" si="24"/>
        <v>0</v>
      </c>
    </row>
    <row r="102" spans="1:15">
      <c r="A102" s="64">
        <v>89</v>
      </c>
      <c r="B102" s="159">
        <f t="shared" si="13"/>
        <v>20000</v>
      </c>
      <c r="C102" s="103">
        <f t="shared" si="14"/>
        <v>6251.1925892262971</v>
      </c>
      <c r="D102" s="103">
        <v>0</v>
      </c>
      <c r="E102" s="103">
        <f t="shared" si="18"/>
        <v>73.715364297136631</v>
      </c>
      <c r="F102" s="103">
        <f t="shared" si="19"/>
        <v>24.9980008925608</v>
      </c>
      <c r="G102" s="144">
        <f t="shared" si="20"/>
        <v>22</v>
      </c>
      <c r="H102" s="103">
        <v>0</v>
      </c>
      <c r="I102" s="156">
        <f t="shared" si="15"/>
        <v>50</v>
      </c>
      <c r="J102" s="103">
        <f t="shared" si="21"/>
        <v>24.9980008925608</v>
      </c>
      <c r="K102" s="103">
        <f t="shared" si="22"/>
        <v>-2.9980008925607997</v>
      </c>
      <c r="L102" s="103">
        <f t="shared" si="23"/>
        <v>8.0940820525418005</v>
      </c>
      <c r="M102" s="103">
        <f t="shared" si="16"/>
        <v>58.0940820525418</v>
      </c>
      <c r="N102" s="103">
        <f t="shared" si="17"/>
        <v>8.0940820525418005</v>
      </c>
      <c r="O102" s="117">
        <f t="shared" si="24"/>
        <v>0</v>
      </c>
    </row>
    <row r="103" spans="1:15">
      <c r="A103" s="64">
        <v>90</v>
      </c>
      <c r="B103" s="159">
        <f t="shared" si="13"/>
        <v>20000</v>
      </c>
      <c r="C103" s="103">
        <f t="shared" si="14"/>
        <v>6251.0995090915603</v>
      </c>
      <c r="D103" s="103">
        <v>0</v>
      </c>
      <c r="E103" s="103">
        <f t="shared" si="18"/>
        <v>73.868648094767451</v>
      </c>
      <c r="F103" s="103">
        <f t="shared" si="19"/>
        <v>24.998156920458495</v>
      </c>
      <c r="G103" s="144">
        <f t="shared" si="20"/>
        <v>22</v>
      </c>
      <c r="H103" s="103">
        <v>0</v>
      </c>
      <c r="I103" s="156">
        <f t="shared" si="15"/>
        <v>50</v>
      </c>
      <c r="J103" s="103">
        <f t="shared" si="21"/>
        <v>24.998156920458495</v>
      </c>
      <c r="K103" s="103">
        <f t="shared" si="22"/>
        <v>-2.998156920458495</v>
      </c>
      <c r="L103" s="103">
        <f t="shared" si="23"/>
        <v>7.7942663604959508</v>
      </c>
      <c r="M103" s="103">
        <f t="shared" si="16"/>
        <v>57.794266360495953</v>
      </c>
      <c r="N103" s="103">
        <f t="shared" si="17"/>
        <v>7.7942663604959534</v>
      </c>
      <c r="O103" s="117">
        <f t="shared" si="24"/>
        <v>0</v>
      </c>
    </row>
    <row r="104" spans="1:15">
      <c r="A104" s="64">
        <v>91</v>
      </c>
      <c r="B104" s="159">
        <f t="shared" si="13"/>
        <v>20000</v>
      </c>
      <c r="C104" s="103">
        <f t="shared" si="14"/>
        <v>6251.0136937478273</v>
      </c>
      <c r="D104" s="103">
        <v>0</v>
      </c>
      <c r="E104" s="103">
        <f t="shared" si="18"/>
        <v>74.018193263187769</v>
      </c>
      <c r="F104" s="103">
        <f t="shared" si="19"/>
        <v>24.998300770569053</v>
      </c>
      <c r="G104" s="144">
        <f t="shared" si="20"/>
        <v>22</v>
      </c>
      <c r="H104" s="103">
        <v>0</v>
      </c>
      <c r="I104" s="156">
        <f t="shared" si="15"/>
        <v>50</v>
      </c>
      <c r="J104" s="103">
        <f t="shared" si="21"/>
        <v>24.998300770569053</v>
      </c>
      <c r="K104" s="103">
        <f t="shared" si="22"/>
        <v>-2.9983007705690525</v>
      </c>
      <c r="L104" s="103">
        <f t="shared" si="23"/>
        <v>7.4944362834390459</v>
      </c>
      <c r="M104" s="103">
        <f t="shared" si="16"/>
        <v>57.494436283439043</v>
      </c>
      <c r="N104" s="103">
        <f t="shared" si="17"/>
        <v>7.4944362834390432</v>
      </c>
      <c r="O104" s="117">
        <f t="shared" si="24"/>
        <v>0</v>
      </c>
    </row>
    <row r="105" spans="1:15">
      <c r="A105" s="64">
        <v>92</v>
      </c>
      <c r="B105" s="159">
        <f t="shared" si="13"/>
        <v>20000</v>
      </c>
      <c r="C105" s="103">
        <f t="shared" si="14"/>
        <v>6250.9345761870209</v>
      </c>
      <c r="D105" s="103">
        <v>0</v>
      </c>
      <c r="E105" s="103">
        <f t="shared" si="18"/>
        <v>74.164090988475877</v>
      </c>
      <c r="F105" s="103">
        <f t="shared" si="19"/>
        <v>24.99843339335391</v>
      </c>
      <c r="G105" s="144">
        <f t="shared" si="20"/>
        <v>22</v>
      </c>
      <c r="H105" s="103">
        <v>0</v>
      </c>
      <c r="I105" s="156">
        <f t="shared" si="15"/>
        <v>50</v>
      </c>
      <c r="J105" s="103">
        <f t="shared" si="21"/>
        <v>24.99843339335391</v>
      </c>
      <c r="K105" s="103">
        <f t="shared" si="22"/>
        <v>-2.9984333933539098</v>
      </c>
      <c r="L105" s="103">
        <f t="shared" si="23"/>
        <v>7.1945929441036549</v>
      </c>
      <c r="M105" s="103">
        <f t="shared" si="16"/>
        <v>57.194592944103654</v>
      </c>
      <c r="N105" s="103">
        <f t="shared" si="17"/>
        <v>7.194592944103654</v>
      </c>
      <c r="O105" s="117">
        <f t="shared" si="24"/>
        <v>0</v>
      </c>
    </row>
    <row r="106" spans="1:15">
      <c r="A106" s="64">
        <v>93</v>
      </c>
      <c r="B106" s="159">
        <f t="shared" si="13"/>
        <v>20000</v>
      </c>
      <c r="C106" s="103">
        <f t="shared" si="14"/>
        <v>6250.8616336553496</v>
      </c>
      <c r="D106" s="103">
        <v>0</v>
      </c>
      <c r="E106" s="103">
        <f t="shared" si="18"/>
        <v>74.306430232659395</v>
      </c>
      <c r="F106" s="103">
        <f t="shared" si="19"/>
        <v>24.998555665092141</v>
      </c>
      <c r="G106" s="144">
        <f t="shared" si="20"/>
        <v>22</v>
      </c>
      <c r="H106" s="103">
        <v>0</v>
      </c>
      <c r="I106" s="156">
        <f t="shared" si="15"/>
        <v>50</v>
      </c>
      <c r="J106" s="103">
        <f t="shared" si="21"/>
        <v>24.998555665092141</v>
      </c>
      <c r="K106" s="103">
        <f t="shared" si="22"/>
        <v>-2.998555665092141</v>
      </c>
      <c r="L106" s="103">
        <f t="shared" si="23"/>
        <v>6.8947373775944412</v>
      </c>
      <c r="M106" s="103">
        <f t="shared" si="16"/>
        <v>56.894737377594438</v>
      </c>
      <c r="N106" s="103">
        <f t="shared" si="17"/>
        <v>6.8947373775944385</v>
      </c>
      <c r="O106" s="117">
        <f t="shared" si="24"/>
        <v>0</v>
      </c>
    </row>
    <row r="107" spans="1:15">
      <c r="A107" s="64">
        <v>94</v>
      </c>
      <c r="B107" s="159">
        <f t="shared" si="13"/>
        <v>20000</v>
      </c>
      <c r="C107" s="103">
        <f t="shared" si="14"/>
        <v>6250.7943841993219</v>
      </c>
      <c r="D107" s="103">
        <v>0</v>
      </c>
      <c r="E107" s="103">
        <f t="shared" si="18"/>
        <v>74.445297787960385</v>
      </c>
      <c r="F107" s="103">
        <f t="shared" si="19"/>
        <v>24.998668393670318</v>
      </c>
      <c r="G107" s="144">
        <f t="shared" si="20"/>
        <v>22</v>
      </c>
      <c r="H107" s="103">
        <v>0</v>
      </c>
      <c r="I107" s="156">
        <f t="shared" si="15"/>
        <v>50</v>
      </c>
      <c r="J107" s="103">
        <f t="shared" si="21"/>
        <v>24.998668393670318</v>
      </c>
      <c r="K107" s="103">
        <f t="shared" si="22"/>
        <v>-2.998668393670318</v>
      </c>
      <c r="L107" s="103">
        <f t="shared" si="23"/>
        <v>6.5948705382274095</v>
      </c>
      <c r="M107" s="103">
        <f t="shared" si="16"/>
        <v>56.594870538227411</v>
      </c>
      <c r="N107" s="103">
        <f t="shared" si="17"/>
        <v>6.5948705382274113</v>
      </c>
      <c r="O107" s="117">
        <f t="shared" si="24"/>
        <v>0</v>
      </c>
    </row>
    <row r="108" spans="1:15">
      <c r="A108" s="64">
        <v>95</v>
      </c>
      <c r="B108" s="159">
        <f t="shared" si="13"/>
        <v>20000</v>
      </c>
      <c r="C108" s="103">
        <f t="shared" si="14"/>
        <v>6250.7323834813251</v>
      </c>
      <c r="D108" s="103">
        <v>0</v>
      </c>
      <c r="E108" s="103">
        <f t="shared" si="18"/>
        <v>74.580778329717461</v>
      </c>
      <c r="F108" s="103">
        <f t="shared" si="19"/>
        <v>24.998772323920441</v>
      </c>
      <c r="G108" s="144">
        <f t="shared" si="20"/>
        <v>22</v>
      </c>
      <c r="H108" s="103">
        <v>0</v>
      </c>
      <c r="I108" s="156">
        <f t="shared" si="15"/>
        <v>50</v>
      </c>
      <c r="J108" s="103">
        <f t="shared" si="21"/>
        <v>24.998772323920441</v>
      </c>
      <c r="K108" s="103">
        <f t="shared" si="22"/>
        <v>-2.9987723239204414</v>
      </c>
      <c r="L108" s="103">
        <f t="shared" si="23"/>
        <v>6.2949933058353658</v>
      </c>
      <c r="M108" s="103">
        <f t="shared" si="16"/>
        <v>56.294993305835362</v>
      </c>
      <c r="N108" s="103">
        <f t="shared" si="17"/>
        <v>6.2949933058353622</v>
      </c>
      <c r="O108" s="117">
        <f t="shared" si="24"/>
        <v>0</v>
      </c>
    </row>
    <row r="109" spans="1:15">
      <c r="A109" s="64">
        <v>96</v>
      </c>
      <c r="B109" s="159">
        <f t="shared" si="13"/>
        <v>20000</v>
      </c>
      <c r="C109" s="103">
        <f t="shared" si="14"/>
        <v>6250.6752218437578</v>
      </c>
      <c r="D109" s="103">
        <v>0</v>
      </c>
      <c r="E109" s="103">
        <f t="shared" si="18"/>
        <v>74.712954468017045</v>
      </c>
      <c r="F109" s="103">
        <f t="shared" si="19"/>
        <v>24.998868142541287</v>
      </c>
      <c r="G109" s="144">
        <f t="shared" si="20"/>
        <v>22</v>
      </c>
      <c r="H109" s="103">
        <v>0</v>
      </c>
      <c r="I109" s="156">
        <f t="shared" si="15"/>
        <v>50</v>
      </c>
      <c r="J109" s="103">
        <f t="shared" si="21"/>
        <v>24.998868142541287</v>
      </c>
      <c r="K109" s="103">
        <f t="shared" si="22"/>
        <v>-2.9988681425412871</v>
      </c>
      <c r="L109" s="103">
        <f t="shared" si="23"/>
        <v>5.9951064915812369</v>
      </c>
      <c r="M109" s="103">
        <f t="shared" si="16"/>
        <v>55.99510649158124</v>
      </c>
      <c r="N109" s="103">
        <f t="shared" si="17"/>
        <v>5.9951064915812395</v>
      </c>
      <c r="O109" s="117">
        <f t="shared" si="24"/>
        <v>0</v>
      </c>
    </row>
    <row r="110" spans="1:15">
      <c r="A110" s="64">
        <v>97</v>
      </c>
      <c r="B110" s="159">
        <f t="shared" si="13"/>
        <v>20000</v>
      </c>
      <c r="C110" s="103">
        <f t="shared" si="14"/>
        <v>6250.6225216022922</v>
      </c>
      <c r="D110" s="103">
        <v>0</v>
      </c>
      <c r="E110" s="103">
        <f t="shared" si="18"/>
        <v>74.841906798065423</v>
      </c>
      <c r="F110" s="103">
        <f t="shared" si="19"/>
        <v>24.998956482635627</v>
      </c>
      <c r="G110" s="144">
        <f t="shared" si="20"/>
        <v>22</v>
      </c>
      <c r="H110" s="103">
        <v>0</v>
      </c>
      <c r="I110" s="156">
        <f t="shared" si="15"/>
        <v>50</v>
      </c>
      <c r="J110" s="103">
        <f t="shared" si="21"/>
        <v>24.998956482635627</v>
      </c>
      <c r="K110" s="103">
        <f t="shared" si="22"/>
        <v>-2.9989564826356272</v>
      </c>
      <c r="L110" s="103">
        <f t="shared" si="23"/>
        <v>5.6952108433176738</v>
      </c>
      <c r="M110" s="103">
        <f t="shared" si="16"/>
        <v>55.695210843317675</v>
      </c>
      <c r="N110" s="103">
        <f t="shared" si="17"/>
        <v>5.6952108433176747</v>
      </c>
      <c r="O110" s="117">
        <f t="shared" si="24"/>
        <v>0</v>
      </c>
    </row>
    <row r="111" spans="1:15">
      <c r="A111" s="64">
        <v>98</v>
      </c>
      <c r="B111" s="159">
        <f t="shared" si="13"/>
        <v>20000</v>
      </c>
      <c r="C111" s="103">
        <f t="shared" si="14"/>
        <v>6250.5739345504044</v>
      </c>
      <c r="D111" s="103">
        <v>0</v>
      </c>
      <c r="E111" s="103">
        <f t="shared" si="18"/>
        <v>74.967713949332122</v>
      </c>
      <c r="F111" s="103">
        <f t="shared" si="19"/>
        <v>24.999037927893337</v>
      </c>
      <c r="G111" s="144">
        <f t="shared" si="20"/>
        <v>22</v>
      </c>
      <c r="H111" s="103">
        <v>0</v>
      </c>
      <c r="I111" s="156">
        <f t="shared" si="15"/>
        <v>50</v>
      </c>
      <c r="J111" s="103">
        <f t="shared" si="21"/>
        <v>24.999037927893337</v>
      </c>
      <c r="K111" s="103">
        <f t="shared" si="22"/>
        <v>-2.9990379278933368</v>
      </c>
      <c r="L111" s="103">
        <f t="shared" si="23"/>
        <v>5.3953070505283405</v>
      </c>
      <c r="M111" s="103">
        <f t="shared" si="16"/>
        <v>55.395307050528338</v>
      </c>
      <c r="N111" s="103">
        <f t="shared" si="17"/>
        <v>5.3953070505283378</v>
      </c>
      <c r="O111" s="117">
        <f t="shared" si="24"/>
        <v>0</v>
      </c>
    </row>
    <row r="112" spans="1:15">
      <c r="A112" s="64">
        <v>99</v>
      </c>
      <c r="B112" s="159">
        <f t="shared" si="13"/>
        <v>20000</v>
      </c>
      <c r="C112" s="103">
        <f t="shared" si="14"/>
        <v>6250.5291396586654</v>
      </c>
      <c r="D112" s="103">
        <v>0</v>
      </c>
      <c r="E112" s="103">
        <f t="shared" si="18"/>
        <v>75.090452633494763</v>
      </c>
      <c r="F112" s="103">
        <f t="shared" si="19"/>
        <v>24.999113016448007</v>
      </c>
      <c r="G112" s="144">
        <f t="shared" si="20"/>
        <v>22</v>
      </c>
      <c r="H112" s="103">
        <v>0</v>
      </c>
      <c r="I112" s="156">
        <f t="shared" si="15"/>
        <v>50</v>
      </c>
      <c r="J112" s="103">
        <f t="shared" si="21"/>
        <v>24.999113016448007</v>
      </c>
      <c r="K112" s="103">
        <f t="shared" si="22"/>
        <v>-2.9991130164480069</v>
      </c>
      <c r="L112" s="103">
        <f t="shared" si="23"/>
        <v>5.09539574888354</v>
      </c>
      <c r="M112" s="103">
        <f t="shared" si="16"/>
        <v>55.09539574888354</v>
      </c>
      <c r="N112" s="103">
        <f t="shared" si="17"/>
        <v>5.09539574888354</v>
      </c>
      <c r="O112" s="117">
        <f t="shared" si="24"/>
        <v>0</v>
      </c>
    </row>
    <row r="113" spans="1:15">
      <c r="A113" s="64">
        <v>100</v>
      </c>
      <c r="B113" s="159">
        <f t="shared" si="13"/>
        <v>20000</v>
      </c>
      <c r="C113" s="103">
        <f t="shared" si="14"/>
        <v>6250.4878409535959</v>
      </c>
      <c r="D113" s="103">
        <f>-0.25*$C$2*(1-COS(2*PI()*A13*$C$4*$C$6))</f>
        <v>0</v>
      </c>
      <c r="E113" s="103">
        <f t="shared" si="18"/>
        <v>75.210197691214404</v>
      </c>
      <c r="F113" s="103">
        <f t="shared" si="19"/>
        <v>24.999182244432554</v>
      </c>
      <c r="G113" s="144">
        <f t="shared" si="20"/>
        <v>22</v>
      </c>
      <c r="H113" s="103">
        <v>0</v>
      </c>
      <c r="I113" s="156">
        <f t="shared" si="15"/>
        <v>50</v>
      </c>
      <c r="J113" s="103">
        <f t="shared" si="21"/>
        <v>24.999182244432554</v>
      </c>
      <c r="K113" s="103">
        <f t="shared" si="22"/>
        <v>-2.9991822444325535</v>
      </c>
      <c r="L113" s="103">
        <f t="shared" si="23"/>
        <v>4.795477524440285</v>
      </c>
      <c r="M113" s="103">
        <f t="shared" si="16"/>
        <v>54.795477524440287</v>
      </c>
      <c r="N113" s="103">
        <f t="shared" si="17"/>
        <v>4.7954775244402867</v>
      </c>
      <c r="O113" s="117">
        <f t="shared" si="24"/>
        <v>0</v>
      </c>
    </row>
    <row r="114" spans="1:15">
      <c r="A114" s="64">
        <v>101</v>
      </c>
      <c r="B114" s="159">
        <f t="shared" si="13"/>
        <v>20000</v>
      </c>
      <c r="C114" s="103">
        <f t="shared" si="14"/>
        <v>6250.4497655620962</v>
      </c>
      <c r="D114" s="103">
        <f>0.25*$C$2*(1-COS(2*PI()*A14*$C$4*$C$6))</f>
        <v>61.558297024311145</v>
      </c>
      <c r="E114" s="103">
        <f t="shared" si="18"/>
        <v>75.321016450255584</v>
      </c>
      <c r="F114" s="103">
        <f t="shared" si="19"/>
        <v>24.993240381742766</v>
      </c>
      <c r="G114" s="144">
        <f t="shared" si="20"/>
        <v>22</v>
      </c>
      <c r="H114" s="103">
        <v>0</v>
      </c>
      <c r="I114" s="156">
        <f t="shared" si="15"/>
        <v>50</v>
      </c>
      <c r="J114" s="103">
        <f t="shared" si="21"/>
        <v>24.993240381742766</v>
      </c>
      <c r="K114" s="103">
        <f t="shared" si="22"/>
        <v>-2.9932403817427655</v>
      </c>
      <c r="L114" s="103">
        <f t="shared" si="23"/>
        <v>4.4961534862660084</v>
      </c>
      <c r="M114" s="103">
        <f t="shared" si="16"/>
        <v>54.49615348626601</v>
      </c>
      <c r="N114" s="103">
        <f t="shared" si="17"/>
        <v>4.4961534862660102</v>
      </c>
      <c r="O114" s="117">
        <f t="shared" si="24"/>
        <v>0</v>
      </c>
    </row>
    <row r="115" spans="1:15">
      <c r="A115" s="64">
        <v>102</v>
      </c>
      <c r="B115" s="159">
        <f t="shared" si="13"/>
        <v>20000</v>
      </c>
      <c r="C115" s="103">
        <f t="shared" si="14"/>
        <v>6253.717790041479</v>
      </c>
      <c r="D115" s="103">
        <f t="shared" ref="D115:D153" si="25">0.25*$C$2*(1-COS(2*PI()*A15*$C$4*$C$6))</f>
        <v>244.71741852423236</v>
      </c>
      <c r="E115" s="103">
        <f t="shared" si="18"/>
        <v>75.411263130149436</v>
      </c>
      <c r="F115" s="103">
        <f t="shared" si="19"/>
        <v>24.969893091604384</v>
      </c>
      <c r="G115" s="144">
        <f t="shared" si="20"/>
        <v>22</v>
      </c>
      <c r="H115" s="103">
        <v>0</v>
      </c>
      <c r="I115" s="156">
        <f t="shared" si="15"/>
        <v>50</v>
      </c>
      <c r="J115" s="103">
        <f t="shared" si="21"/>
        <v>24.969893091604384</v>
      </c>
      <c r="K115" s="103">
        <f t="shared" si="22"/>
        <v>-2.9698930916043835</v>
      </c>
      <c r="L115" s="103">
        <f t="shared" si="23"/>
        <v>4.1991641771055699</v>
      </c>
      <c r="M115" s="103">
        <f t="shared" si="16"/>
        <v>54.199164177105573</v>
      </c>
      <c r="N115" s="103">
        <f t="shared" si="17"/>
        <v>4.1991641771055725</v>
      </c>
      <c r="O115" s="117">
        <f t="shared" si="24"/>
        <v>0</v>
      </c>
    </row>
    <row r="116" spans="1:15">
      <c r="A116" s="64">
        <v>103</v>
      </c>
      <c r="B116" s="159">
        <f t="shared" si="13"/>
        <v>20000</v>
      </c>
      <c r="C116" s="103">
        <f t="shared" si="14"/>
        <v>6266.5587996175891</v>
      </c>
      <c r="D116" s="103">
        <f t="shared" si="25"/>
        <v>544.96737905816053</v>
      </c>
      <c r="E116" s="103">
        <f t="shared" si="18"/>
        <v>75.470015992432806</v>
      </c>
      <c r="F116" s="103">
        <f t="shared" si="19"/>
        <v>24.919075349912514</v>
      </c>
      <c r="G116" s="144">
        <f t="shared" si="20"/>
        <v>22</v>
      </c>
      <c r="H116" s="103">
        <v>0</v>
      </c>
      <c r="I116" s="156">
        <f t="shared" si="15"/>
        <v>50</v>
      </c>
      <c r="J116" s="103">
        <f t="shared" si="21"/>
        <v>24.919075349912514</v>
      </c>
      <c r="K116" s="103">
        <f t="shared" si="22"/>
        <v>-2.9190753499125144</v>
      </c>
      <c r="L116" s="103">
        <f t="shared" si="23"/>
        <v>3.9072566421143184</v>
      </c>
      <c r="M116" s="103">
        <f t="shared" si="16"/>
        <v>53.907256642114319</v>
      </c>
      <c r="N116" s="103">
        <f t="shared" si="17"/>
        <v>3.9072566421143193</v>
      </c>
      <c r="O116" s="117">
        <f t="shared" si="24"/>
        <v>0</v>
      </c>
    </row>
    <row r="117" spans="1:15">
      <c r="A117" s="64">
        <v>104</v>
      </c>
      <c r="B117" s="159">
        <f t="shared" si="13"/>
        <v>20000</v>
      </c>
      <c r="C117" s="103">
        <f t="shared" si="14"/>
        <v>6294.5085575481171</v>
      </c>
      <c r="D117" s="103">
        <f t="shared" si="25"/>
        <v>954.91502812526278</v>
      </c>
      <c r="E117" s="103">
        <f t="shared" si="18"/>
        <v>75.487340965483213</v>
      </c>
      <c r="F117" s="103">
        <f t="shared" si="19"/>
        <v>24.83222897839493</v>
      </c>
      <c r="G117" s="144">
        <f t="shared" si="20"/>
        <v>22</v>
      </c>
      <c r="H117" s="103">
        <v>0</v>
      </c>
      <c r="I117" s="156">
        <f t="shared" si="15"/>
        <v>50</v>
      </c>
      <c r="J117" s="103">
        <f t="shared" si="21"/>
        <v>24.83222897839493</v>
      </c>
      <c r="K117" s="103">
        <f t="shared" si="22"/>
        <v>-2.8322289783949302</v>
      </c>
      <c r="L117" s="103">
        <f t="shared" si="23"/>
        <v>3.6240337442748256</v>
      </c>
      <c r="M117" s="103">
        <f t="shared" si="16"/>
        <v>53.624033744274826</v>
      </c>
      <c r="N117" s="103">
        <f t="shared" si="17"/>
        <v>3.6240337442748256</v>
      </c>
      <c r="O117" s="117">
        <f t="shared" si="24"/>
        <v>0</v>
      </c>
    </row>
    <row r="118" spans="1:15">
      <c r="A118" s="64">
        <v>105</v>
      </c>
      <c r="B118" s="159">
        <f t="shared" si="13"/>
        <v>20000</v>
      </c>
      <c r="C118" s="103">
        <f t="shared" si="14"/>
        <v>6342.2740618827884</v>
      </c>
      <c r="D118" s="103">
        <f t="shared" si="25"/>
        <v>1464.4660940672622</v>
      </c>
      <c r="E118" s="103">
        <f t="shared" si="18"/>
        <v>75.454531079099027</v>
      </c>
      <c r="F118" s="103">
        <f t="shared" si="19"/>
        <v>24.70244856114779</v>
      </c>
      <c r="G118" s="144">
        <f t="shared" si="20"/>
        <v>22</v>
      </c>
      <c r="H118" s="103">
        <v>0</v>
      </c>
      <c r="I118" s="156">
        <f t="shared" si="15"/>
        <v>50</v>
      </c>
      <c r="J118" s="103">
        <f t="shared" si="21"/>
        <v>24.70244856114779</v>
      </c>
      <c r="K118" s="103">
        <f t="shared" si="22"/>
        <v>-2.70244856114779</v>
      </c>
      <c r="L118" s="103">
        <f t="shared" si="23"/>
        <v>3.3537888881600466</v>
      </c>
      <c r="M118" s="103">
        <f t="shared" si="16"/>
        <v>53.353788888160047</v>
      </c>
      <c r="N118" s="103">
        <f t="shared" si="17"/>
        <v>3.3537888881600466</v>
      </c>
      <c r="O118" s="117">
        <f t="shared" si="24"/>
        <v>0</v>
      </c>
    </row>
    <row r="119" spans="1:15">
      <c r="A119" s="64">
        <v>106</v>
      </c>
      <c r="B119" s="159">
        <f t="shared" si="13"/>
        <v>20000</v>
      </c>
      <c r="C119" s="103">
        <f t="shared" si="14"/>
        <v>6413.6532913687151</v>
      </c>
      <c r="D119" s="103">
        <f t="shared" si="25"/>
        <v>2061.0737385376342</v>
      </c>
      <c r="E119" s="103">
        <f t="shared" si="18"/>
        <v>75.364315809995375</v>
      </c>
      <c r="F119" s="103">
        <f t="shared" si="19"/>
        <v>24.524591723347221</v>
      </c>
      <c r="G119" s="144">
        <f t="shared" si="20"/>
        <v>22</v>
      </c>
      <c r="H119" s="103">
        <v>0</v>
      </c>
      <c r="I119" s="156">
        <f t="shared" si="15"/>
        <v>50</v>
      </c>
      <c r="J119" s="103">
        <f t="shared" si="21"/>
        <v>24.524591723347221</v>
      </c>
      <c r="K119" s="103">
        <f t="shared" si="22"/>
        <v>-2.5245917233472213</v>
      </c>
      <c r="L119" s="103">
        <f t="shared" si="23"/>
        <v>3.1013297158253246</v>
      </c>
      <c r="M119" s="103">
        <f t="shared" si="16"/>
        <v>53.101329715825322</v>
      </c>
      <c r="N119" s="103">
        <f t="shared" si="17"/>
        <v>3.1013297158253224</v>
      </c>
      <c r="O119" s="117">
        <f t="shared" si="24"/>
        <v>0</v>
      </c>
    </row>
    <row r="120" spans="1:15">
      <c r="A120" s="64">
        <v>107</v>
      </c>
      <c r="B120" s="159">
        <f t="shared" si="13"/>
        <v>20000</v>
      </c>
      <c r="C120" s="103">
        <f t="shared" si="14"/>
        <v>6511.4745521590285</v>
      </c>
      <c r="D120" s="103">
        <f t="shared" si="25"/>
        <v>2730.047501302266</v>
      </c>
      <c r="E120" s="103">
        <f t="shared" si="18"/>
        <v>75.211035180356248</v>
      </c>
      <c r="F120" s="103">
        <f t="shared" si="19"/>
        <v>24.295350661885756</v>
      </c>
      <c r="G120" s="144">
        <f t="shared" si="20"/>
        <v>22</v>
      </c>
      <c r="H120" s="103">
        <v>0</v>
      </c>
      <c r="I120" s="156">
        <f t="shared" si="15"/>
        <v>50</v>
      </c>
      <c r="J120" s="103">
        <f t="shared" si="21"/>
        <v>24.295350661885756</v>
      </c>
      <c r="K120" s="103">
        <f t="shared" si="22"/>
        <v>-2.295350661885756</v>
      </c>
      <c r="L120" s="103">
        <f t="shared" si="23"/>
        <v>2.8717946496367488</v>
      </c>
      <c r="M120" s="103">
        <f t="shared" si="16"/>
        <v>52.871794649636747</v>
      </c>
      <c r="N120" s="103">
        <f t="shared" si="17"/>
        <v>2.8717946496367475</v>
      </c>
      <c r="O120" s="117">
        <f t="shared" si="24"/>
        <v>0</v>
      </c>
    </row>
    <row r="121" spans="1:15">
      <c r="A121" s="64">
        <v>108</v>
      </c>
      <c r="B121" s="159">
        <f t="shared" si="13"/>
        <v>20000</v>
      </c>
      <c r="C121" s="103">
        <f t="shared" si="14"/>
        <v>6637.5571359628339</v>
      </c>
      <c r="D121" s="103">
        <f t="shared" si="25"/>
        <v>3454.9150281252628</v>
      </c>
      <c r="E121" s="103">
        <f t="shared" si="18"/>
        <v>74.990774319554859</v>
      </c>
      <c r="F121" s="103">
        <f t="shared" si="19"/>
        <v>24.013282802604405</v>
      </c>
      <c r="G121" s="144">
        <f t="shared" si="20"/>
        <v>22</v>
      </c>
      <c r="H121" s="103">
        <v>0</v>
      </c>
      <c r="I121" s="156">
        <f t="shared" si="15"/>
        <v>50</v>
      </c>
      <c r="J121" s="103">
        <f t="shared" si="21"/>
        <v>24.013282802604405</v>
      </c>
      <c r="K121" s="103">
        <f t="shared" si="22"/>
        <v>-2.0132828026044045</v>
      </c>
      <c r="L121" s="103">
        <f t="shared" si="23"/>
        <v>2.6704663693763084</v>
      </c>
      <c r="M121" s="103">
        <f t="shared" si="16"/>
        <v>52.670466369376307</v>
      </c>
      <c r="N121" s="103">
        <f t="shared" si="17"/>
        <v>2.6704663693763067</v>
      </c>
      <c r="O121" s="117">
        <f t="shared" si="24"/>
        <v>0</v>
      </c>
    </row>
    <row r="122" spans="1:15">
      <c r="A122" s="64">
        <v>109</v>
      </c>
      <c r="B122" s="159">
        <f t="shared" si="13"/>
        <v>20000</v>
      </c>
      <c r="C122" s="103">
        <f t="shared" si="14"/>
        <v>6792.6944585675774</v>
      </c>
      <c r="D122" s="103">
        <f t="shared" si="25"/>
        <v>4217.8276747988457</v>
      </c>
      <c r="E122" s="103">
        <f t="shared" si="18"/>
        <v>74.701455172756084</v>
      </c>
      <c r="F122" s="103">
        <f t="shared" si="19"/>
        <v>23.678799493640273</v>
      </c>
      <c r="G122" s="144">
        <f t="shared" si="20"/>
        <v>22</v>
      </c>
      <c r="H122" s="103">
        <v>0</v>
      </c>
      <c r="I122" s="156">
        <f t="shared" si="15"/>
        <v>50</v>
      </c>
      <c r="J122" s="103">
        <f t="shared" si="21"/>
        <v>23.678799493640273</v>
      </c>
      <c r="K122" s="103">
        <f t="shared" si="22"/>
        <v>-1.6787994936402733</v>
      </c>
      <c r="L122" s="103">
        <f t="shared" si="23"/>
        <v>2.5025864200122809</v>
      </c>
      <c r="M122" s="103">
        <f t="shared" si="16"/>
        <v>52.502586420012278</v>
      </c>
      <c r="N122" s="103">
        <f t="shared" si="17"/>
        <v>2.5025864200122783</v>
      </c>
      <c r="O122" s="117">
        <f t="shared" si="24"/>
        <v>0</v>
      </c>
    </row>
    <row r="123" spans="1:15">
      <c r="A123" s="64">
        <v>110</v>
      </c>
      <c r="B123" s="159">
        <f t="shared" si="13"/>
        <v>20000</v>
      </c>
      <c r="C123" s="103">
        <f t="shared" si="14"/>
        <v>6976.6602784978495</v>
      </c>
      <c r="D123" s="103">
        <f t="shared" si="25"/>
        <v>4999.9999999999991</v>
      </c>
      <c r="E123" s="103">
        <f t="shared" si="18"/>
        <v>74.342883095371803</v>
      </c>
      <c r="F123" s="103">
        <f t="shared" si="19"/>
        <v>23.29411270389274</v>
      </c>
      <c r="G123" s="144">
        <f t="shared" si="20"/>
        <v>22</v>
      </c>
      <c r="H123" s="103">
        <v>0</v>
      </c>
      <c r="I123" s="156">
        <f t="shared" si="15"/>
        <v>50</v>
      </c>
      <c r="J123" s="103">
        <f t="shared" si="21"/>
        <v>23.29411270389274</v>
      </c>
      <c r="K123" s="103">
        <f t="shared" si="22"/>
        <v>-1.2941127038927398</v>
      </c>
      <c r="L123" s="103">
        <f t="shared" si="23"/>
        <v>2.3731751496230071</v>
      </c>
      <c r="M123" s="103">
        <f t="shared" si="16"/>
        <v>52.373175149623009</v>
      </c>
      <c r="N123" s="103">
        <f t="shared" si="17"/>
        <v>2.3731751496230089</v>
      </c>
      <c r="O123" s="117">
        <f t="shared" si="24"/>
        <v>0</v>
      </c>
    </row>
    <row r="124" spans="1:15">
      <c r="A124" s="64">
        <v>111</v>
      </c>
      <c r="B124" s="159">
        <f t="shared" si="13"/>
        <v>20000</v>
      </c>
      <c r="C124" s="103">
        <f t="shared" si="14"/>
        <v>7188.2380128589939</v>
      </c>
      <c r="D124" s="103">
        <f t="shared" si="25"/>
        <v>5782.1723252011534</v>
      </c>
      <c r="E124" s="103">
        <f t="shared" si="18"/>
        <v>73.916747183269948</v>
      </c>
      <c r="F124" s="103">
        <f t="shared" si="19"/>
        <v>22.863140753813195</v>
      </c>
      <c r="G124" s="144">
        <f t="shared" si="20"/>
        <v>22</v>
      </c>
      <c r="H124" s="103">
        <v>0</v>
      </c>
      <c r="I124" s="156">
        <f t="shared" si="15"/>
        <v>50</v>
      </c>
      <c r="J124" s="103">
        <f t="shared" si="21"/>
        <v>22.863140753813195</v>
      </c>
      <c r="K124" s="103">
        <f t="shared" si="22"/>
        <v>-0.86314075381319455</v>
      </c>
      <c r="L124" s="103">
        <f t="shared" si="23"/>
        <v>2.2868610742416875</v>
      </c>
      <c r="M124" s="103">
        <f t="shared" si="16"/>
        <v>52.286861074241685</v>
      </c>
      <c r="N124" s="103">
        <f t="shared" si="17"/>
        <v>2.2868610742416848</v>
      </c>
      <c r="O124" s="117">
        <f t="shared" si="24"/>
        <v>0</v>
      </c>
    </row>
    <row r="125" spans="1:15">
      <c r="A125" s="64">
        <v>112</v>
      </c>
      <c r="B125" s="159">
        <f t="shared" si="13"/>
        <v>20000</v>
      </c>
      <c r="C125" s="103">
        <f t="shared" si="14"/>
        <v>7425.2725854027431</v>
      </c>
      <c r="D125" s="103">
        <f t="shared" si="25"/>
        <v>6545.0849718747377</v>
      </c>
      <c r="E125" s="103">
        <f t="shared" si="18"/>
        <v>73.426574327885348</v>
      </c>
      <c r="F125" s="103">
        <f t="shared" si="19"/>
        <v>22.391375136747314</v>
      </c>
      <c r="G125" s="144">
        <f t="shared" si="20"/>
        <v>22</v>
      </c>
      <c r="H125" s="103">
        <v>0</v>
      </c>
      <c r="I125" s="156">
        <f t="shared" si="15"/>
        <v>50</v>
      </c>
      <c r="J125" s="103">
        <f t="shared" si="21"/>
        <v>22.391375136747314</v>
      </c>
      <c r="K125" s="103">
        <f t="shared" si="22"/>
        <v>-0.39137513674731395</v>
      </c>
      <c r="L125" s="103">
        <f t="shared" si="23"/>
        <v>2.2477235605669561</v>
      </c>
      <c r="M125" s="103">
        <f t="shared" si="16"/>
        <v>52.247723560566953</v>
      </c>
      <c r="N125" s="103">
        <f t="shared" si="17"/>
        <v>2.2477235605669534</v>
      </c>
      <c r="O125" s="117">
        <f t="shared" si="24"/>
        <v>0</v>
      </c>
    </row>
    <row r="126" spans="1:15">
      <c r="A126" s="64">
        <v>113</v>
      </c>
      <c r="B126" s="159">
        <f t="shared" si="13"/>
        <v>20000</v>
      </c>
      <c r="C126" s="103">
        <f t="shared" si="14"/>
        <v>7684.7436747889769</v>
      </c>
      <c r="D126" s="103">
        <f t="shared" si="25"/>
        <v>7269.9524986977358</v>
      </c>
      <c r="E126" s="103">
        <f t="shared" si="18"/>
        <v>72.877638124893252</v>
      </c>
      <c r="F126" s="103">
        <f t="shared" si="19"/>
        <v>21.885711467664819</v>
      </c>
      <c r="G126" s="144">
        <f t="shared" si="20"/>
        <v>22</v>
      </c>
      <c r="H126" s="103">
        <v>0</v>
      </c>
      <c r="I126" s="156">
        <f t="shared" si="15"/>
        <v>50</v>
      </c>
      <c r="J126" s="103">
        <f t="shared" si="21"/>
        <v>21.885711467664819</v>
      </c>
      <c r="K126" s="103">
        <f t="shared" si="22"/>
        <v>0.11428853233518055</v>
      </c>
      <c r="L126" s="103">
        <f t="shared" si="23"/>
        <v>2.2591524138004742</v>
      </c>
      <c r="M126" s="103">
        <f t="shared" si="16"/>
        <v>52.259152413800471</v>
      </c>
      <c r="N126" s="103">
        <f t="shared" si="17"/>
        <v>2.2591524138004715</v>
      </c>
      <c r="O126" s="117">
        <f t="shared" si="24"/>
        <v>0</v>
      </c>
    </row>
    <row r="127" spans="1:15">
      <c r="A127" s="64">
        <v>114</v>
      </c>
      <c r="B127" s="159">
        <f t="shared" si="13"/>
        <v>20000</v>
      </c>
      <c r="C127" s="103">
        <f t="shared" si="14"/>
        <v>7962.8586927843498</v>
      </c>
      <c r="D127" s="103">
        <f t="shared" si="25"/>
        <v>7938.9262614623649</v>
      </c>
      <c r="E127" s="103">
        <f t="shared" si="18"/>
        <v>72.276824876826367</v>
      </c>
      <c r="F127" s="103">
        <f t="shared" si="19"/>
        <v>21.354248498338553</v>
      </c>
      <c r="G127" s="144">
        <f t="shared" si="20"/>
        <v>22</v>
      </c>
      <c r="H127" s="103">
        <v>0</v>
      </c>
      <c r="I127" s="156">
        <f t="shared" si="15"/>
        <v>50</v>
      </c>
      <c r="J127" s="103">
        <f t="shared" si="21"/>
        <v>21.354248498338553</v>
      </c>
      <c r="K127" s="103">
        <f t="shared" si="22"/>
        <v>0.64575150166144724</v>
      </c>
      <c r="L127" s="103">
        <f t="shared" si="23"/>
        <v>2.3237275639666191</v>
      </c>
      <c r="M127" s="103">
        <f t="shared" si="16"/>
        <v>52.323727563966621</v>
      </c>
      <c r="N127" s="103">
        <f t="shared" si="17"/>
        <v>2.3237275639666208</v>
      </c>
      <c r="O127" s="117">
        <f t="shared" si="24"/>
        <v>0</v>
      </c>
    </row>
    <row r="128" spans="1:15">
      <c r="A128" s="64">
        <v>115</v>
      </c>
      <c r="B128" s="159">
        <f t="shared" si="13"/>
        <v>20000</v>
      </c>
      <c r="C128" s="103">
        <f t="shared" si="14"/>
        <v>8255.1633259137961</v>
      </c>
      <c r="D128" s="103">
        <f t="shared" si="25"/>
        <v>8535.533905932738</v>
      </c>
      <c r="E128" s="103">
        <f t="shared" si="18"/>
        <v>71.632459986568875</v>
      </c>
      <c r="F128" s="103">
        <f t="shared" si="19"/>
        <v>20.806059941791865</v>
      </c>
      <c r="G128" s="144">
        <f t="shared" si="20"/>
        <v>22</v>
      </c>
      <c r="H128" s="103">
        <v>0</v>
      </c>
      <c r="I128" s="156">
        <f t="shared" si="15"/>
        <v>50</v>
      </c>
      <c r="J128" s="103">
        <f t="shared" si="21"/>
        <v>20.806059941791865</v>
      </c>
      <c r="K128" s="103">
        <f t="shared" si="22"/>
        <v>1.1939400582081348</v>
      </c>
      <c r="L128" s="103">
        <f t="shared" si="23"/>
        <v>2.4431215697874324</v>
      </c>
      <c r="M128" s="103">
        <f t="shared" si="16"/>
        <v>52.443121569787429</v>
      </c>
      <c r="N128" s="103">
        <f t="shared" si="17"/>
        <v>2.4431215697874293</v>
      </c>
      <c r="O128" s="117">
        <f t="shared" si="24"/>
        <v>0</v>
      </c>
    </row>
    <row r="129" spans="1:15">
      <c r="A129" s="64">
        <v>116</v>
      </c>
      <c r="B129" s="159">
        <f t="shared" si="13"/>
        <v>20000</v>
      </c>
      <c r="C129" s="103">
        <f t="shared" si="14"/>
        <v>8556.6670320144749</v>
      </c>
      <c r="D129" s="103">
        <f t="shared" si="25"/>
        <v>9045.0849718747377</v>
      </c>
      <c r="E129" s="103">
        <f t="shared" si="18"/>
        <v>70.954099014030632</v>
      </c>
      <c r="F129" s="103">
        <f t="shared" si="19"/>
        <v>20.250944534444724</v>
      </c>
      <c r="G129" s="144">
        <f t="shared" si="20"/>
        <v>22</v>
      </c>
      <c r="H129" s="103">
        <v>0</v>
      </c>
      <c r="I129" s="156">
        <f t="shared" si="15"/>
        <v>50</v>
      </c>
      <c r="J129" s="103">
        <f t="shared" si="21"/>
        <v>20.250944534444724</v>
      </c>
      <c r="K129" s="103">
        <f t="shared" si="22"/>
        <v>1.7490554655552764</v>
      </c>
      <c r="L129" s="103">
        <f t="shared" si="23"/>
        <v>2.6180271163429603</v>
      </c>
      <c r="M129" s="103">
        <f t="shared" si="16"/>
        <v>52.618027116342958</v>
      </c>
      <c r="N129" s="103">
        <f t="shared" si="17"/>
        <v>2.618027116342958</v>
      </c>
      <c r="O129" s="117">
        <f t="shared" si="24"/>
        <v>0</v>
      </c>
    </row>
    <row r="130" spans="1:15">
      <c r="A130" s="64">
        <v>117</v>
      </c>
      <c r="B130" s="159">
        <f t="shared" si="13"/>
        <v>20000</v>
      </c>
      <c r="C130" s="103">
        <f t="shared" si="14"/>
        <v>8861.9805060554027</v>
      </c>
      <c r="D130" s="103">
        <f t="shared" si="25"/>
        <v>9455.0326209418399</v>
      </c>
      <c r="E130" s="103">
        <f t="shared" si="18"/>
        <v>70.252288538474602</v>
      </c>
      <c r="F130" s="103">
        <f t="shared" si="19"/>
        <v>19.699160315079101</v>
      </c>
      <c r="G130" s="144">
        <f t="shared" si="20"/>
        <v>22</v>
      </c>
      <c r="H130" s="103">
        <v>0</v>
      </c>
      <c r="I130" s="156">
        <f t="shared" si="15"/>
        <v>50</v>
      </c>
      <c r="J130" s="103">
        <f t="shared" si="21"/>
        <v>19.699160315079101</v>
      </c>
      <c r="K130" s="103">
        <f t="shared" si="22"/>
        <v>2.3008396849208985</v>
      </c>
      <c r="L130" s="103">
        <f t="shared" si="23"/>
        <v>2.8481110848350499</v>
      </c>
      <c r="M130" s="103">
        <f t="shared" si="16"/>
        <v>52.848111084835047</v>
      </c>
      <c r="N130" s="103">
        <f t="shared" si="17"/>
        <v>2.8481110848350468</v>
      </c>
      <c r="O130" s="117">
        <f t="shared" si="24"/>
        <v>0</v>
      </c>
    </row>
    <row r="131" spans="1:15">
      <c r="A131" s="64">
        <v>118</v>
      </c>
      <c r="B131" s="159">
        <f t="shared" si="13"/>
        <v>20000</v>
      </c>
      <c r="C131" s="103">
        <f t="shared" si="14"/>
        <v>9165.4618267064943</v>
      </c>
      <c r="D131" s="103">
        <f t="shared" si="25"/>
        <v>9755.2825814757689</v>
      </c>
      <c r="E131" s="103">
        <f t="shared" si="18"/>
        <v>69.538302712514181</v>
      </c>
      <c r="F131" s="103">
        <f t="shared" si="19"/>
        <v>19.161149502050904</v>
      </c>
      <c r="G131" s="144">
        <f t="shared" si="20"/>
        <v>22</v>
      </c>
      <c r="H131" s="103">
        <v>0</v>
      </c>
      <c r="I131" s="156">
        <f t="shared" si="15"/>
        <v>50</v>
      </c>
      <c r="J131" s="103">
        <f t="shared" si="21"/>
        <v>19.161149502050904</v>
      </c>
      <c r="K131" s="103">
        <f t="shared" si="22"/>
        <v>2.8388504979490961</v>
      </c>
      <c r="L131" s="103">
        <f t="shared" si="23"/>
        <v>3.1319961346299596</v>
      </c>
      <c r="M131" s="103">
        <f t="shared" si="16"/>
        <v>53.131996134629958</v>
      </c>
      <c r="N131" s="103">
        <f t="shared" si="17"/>
        <v>3.1319961346299579</v>
      </c>
      <c r="O131" s="117">
        <f t="shared" si="24"/>
        <v>0</v>
      </c>
    </row>
    <row r="132" spans="1:15">
      <c r="A132" s="64">
        <v>119</v>
      </c>
      <c r="B132" s="159">
        <f t="shared" si="13"/>
        <v>20000</v>
      </c>
      <c r="C132" s="103">
        <f t="shared" si="14"/>
        <v>9461.3677738720035</v>
      </c>
      <c r="D132" s="103">
        <f t="shared" si="25"/>
        <v>9938.4417029756896</v>
      </c>
      <c r="E132" s="103">
        <f t="shared" si="18"/>
        <v>68.823861992406464</v>
      </c>
      <c r="F132" s="103">
        <f t="shared" si="19"/>
        <v>18.647260594283452</v>
      </c>
      <c r="G132" s="144">
        <f t="shared" si="20"/>
        <v>22</v>
      </c>
      <c r="H132" s="103">
        <v>0</v>
      </c>
      <c r="I132" s="156">
        <f t="shared" si="15"/>
        <v>50</v>
      </c>
      <c r="J132" s="103">
        <f t="shared" si="21"/>
        <v>18.647260594283452</v>
      </c>
      <c r="K132" s="103">
        <f t="shared" si="22"/>
        <v>3.352739405716548</v>
      </c>
      <c r="L132" s="103">
        <f t="shared" si="23"/>
        <v>3.4672700752016143</v>
      </c>
      <c r="M132" s="103">
        <f t="shared" si="16"/>
        <v>53.467270075201611</v>
      </c>
      <c r="N132" s="103">
        <f t="shared" si="17"/>
        <v>3.4672700752016112</v>
      </c>
      <c r="O132" s="117">
        <f t="shared" si="24"/>
        <v>0</v>
      </c>
    </row>
    <row r="133" spans="1:15">
      <c r="A133" s="64">
        <v>120</v>
      </c>
      <c r="B133" s="159">
        <f t="shared" si="13"/>
        <v>20000</v>
      </c>
      <c r="C133" s="103">
        <f t="shared" si="14"/>
        <v>9744.006673144102</v>
      </c>
      <c r="D133" s="103">
        <f t="shared" si="25"/>
        <v>10000</v>
      </c>
      <c r="E133" s="103">
        <f t="shared" si="18"/>
        <v>68.120840968201435</v>
      </c>
      <c r="F133" s="103">
        <f t="shared" si="19"/>
        <v>18.167474401558891</v>
      </c>
      <c r="G133" s="144">
        <f t="shared" si="20"/>
        <v>22</v>
      </c>
      <c r="H133" s="103">
        <v>0</v>
      </c>
      <c r="I133" s="156">
        <f t="shared" si="15"/>
        <v>50</v>
      </c>
      <c r="J133" s="103">
        <f t="shared" si="21"/>
        <v>18.167474401558891</v>
      </c>
      <c r="K133" s="103">
        <f t="shared" si="22"/>
        <v>3.8325255984411086</v>
      </c>
      <c r="L133" s="103">
        <f t="shared" si="23"/>
        <v>3.8505226350457251</v>
      </c>
      <c r="M133" s="103">
        <f t="shared" si="16"/>
        <v>53.850522635045728</v>
      </c>
      <c r="N133" s="103">
        <f t="shared" si="17"/>
        <v>3.8505226350457278</v>
      </c>
      <c r="O133" s="117">
        <f t="shared" si="24"/>
        <v>0</v>
      </c>
    </row>
    <row r="134" spans="1:15">
      <c r="A134" s="64">
        <v>121</v>
      </c>
      <c r="B134" s="159">
        <f t="shared" si="13"/>
        <v>20000</v>
      </c>
      <c r="C134" s="103">
        <f t="shared" si="14"/>
        <v>10007.889079142609</v>
      </c>
      <c r="D134" s="103">
        <f t="shared" si="25"/>
        <v>9938.4417029756896</v>
      </c>
      <c r="E134" s="103">
        <f t="shared" si="18"/>
        <v>67.440972485759886</v>
      </c>
      <c r="F134" s="103">
        <f t="shared" si="19"/>
        <v>17.731140623585937</v>
      </c>
      <c r="G134" s="144">
        <f t="shared" si="20"/>
        <v>22</v>
      </c>
      <c r="H134" s="103">
        <v>0</v>
      </c>
      <c r="I134" s="156">
        <f t="shared" si="15"/>
        <v>50</v>
      </c>
      <c r="J134" s="103">
        <f t="shared" si="21"/>
        <v>17.731140623585937</v>
      </c>
      <c r="K134" s="103">
        <f t="shared" si="22"/>
        <v>4.2688593764140634</v>
      </c>
      <c r="L134" s="103">
        <f t="shared" si="23"/>
        <v>4.2774085726871318</v>
      </c>
      <c r="M134" s="103">
        <f t="shared" si="16"/>
        <v>54.277408572687129</v>
      </c>
      <c r="N134" s="103">
        <f t="shared" si="17"/>
        <v>4.2774085726871292</v>
      </c>
      <c r="O134" s="117">
        <f t="shared" si="24"/>
        <v>0</v>
      </c>
    </row>
    <row r="135" spans="1:15">
      <c r="A135" s="64">
        <v>122</v>
      </c>
      <c r="B135" s="159">
        <f t="shared" si="13"/>
        <v>20000</v>
      </c>
      <c r="C135" s="103">
        <f t="shared" si="14"/>
        <v>10247.872657027734</v>
      </c>
      <c r="D135" s="103">
        <f t="shared" si="25"/>
        <v>9755.2825814757689</v>
      </c>
      <c r="E135" s="103">
        <f t="shared" si="18"/>
        <v>66.795555344012016</v>
      </c>
      <c r="F135" s="103">
        <f t="shared" si="19"/>
        <v>17.346731347454767</v>
      </c>
      <c r="G135" s="144">
        <f t="shared" si="20"/>
        <v>22</v>
      </c>
      <c r="H135" s="103">
        <v>0</v>
      </c>
      <c r="I135" s="156">
        <f t="shared" si="15"/>
        <v>50</v>
      </c>
      <c r="J135" s="103">
        <f t="shared" si="21"/>
        <v>17.346731347454767</v>
      </c>
      <c r="K135" s="103">
        <f t="shared" si="22"/>
        <v>4.6532686525452327</v>
      </c>
      <c r="L135" s="103">
        <f t="shared" si="23"/>
        <v>4.7427354379416551</v>
      </c>
      <c r="M135" s="103">
        <f t="shared" si="16"/>
        <v>54.742735437941654</v>
      </c>
      <c r="N135" s="103">
        <f t="shared" si="17"/>
        <v>4.7427354379416542</v>
      </c>
      <c r="O135" s="117">
        <f t="shared" si="24"/>
        <v>0</v>
      </c>
    </row>
    <row r="136" spans="1:15">
      <c r="A136" s="64">
        <v>123</v>
      </c>
      <c r="B136" s="159">
        <f t="shared" si="13"/>
        <v>20000</v>
      </c>
      <c r="C136" s="103">
        <f t="shared" si="14"/>
        <v>10459.297758899878</v>
      </c>
      <c r="D136" s="103">
        <f t="shared" si="25"/>
        <v>9455.0326209418381</v>
      </c>
      <c r="E136" s="103">
        <f t="shared" si="18"/>
        <v>66.195172762846681</v>
      </c>
      <c r="F136" s="103">
        <f t="shared" si="19"/>
        <v>17.021617425610312</v>
      </c>
      <c r="G136" s="144">
        <f t="shared" si="20"/>
        <v>22</v>
      </c>
      <c r="H136" s="103">
        <v>0</v>
      </c>
      <c r="I136" s="156">
        <f t="shared" si="15"/>
        <v>50</v>
      </c>
      <c r="J136" s="103">
        <f t="shared" si="21"/>
        <v>17.021617425610312</v>
      </c>
      <c r="K136" s="103">
        <f t="shared" si="22"/>
        <v>4.9783825743896877</v>
      </c>
      <c r="L136" s="103">
        <f t="shared" si="23"/>
        <v>5.2405736953806237</v>
      </c>
      <c r="M136" s="103">
        <f t="shared" si="16"/>
        <v>55.240573695380625</v>
      </c>
      <c r="N136" s="103">
        <f t="shared" si="17"/>
        <v>5.2405736953806255</v>
      </c>
      <c r="O136" s="117">
        <f t="shared" si="24"/>
        <v>0</v>
      </c>
    </row>
    <row r="137" spans="1:15">
      <c r="A137" s="64">
        <v>124</v>
      </c>
      <c r="B137" s="159">
        <f t="shared" si="13"/>
        <v>20000</v>
      </c>
      <c r="C137" s="103">
        <f t="shared" si="14"/>
        <v>10638.110415914329</v>
      </c>
      <c r="D137" s="103">
        <f t="shared" si="25"/>
        <v>9045.0849718747377</v>
      </c>
      <c r="E137" s="103">
        <f t="shared" si="18"/>
        <v>65.649428551862641</v>
      </c>
      <c r="F137" s="103">
        <f t="shared" si="19"/>
        <v>16.761873141477341</v>
      </c>
      <c r="G137" s="144">
        <f t="shared" si="20"/>
        <v>22</v>
      </c>
      <c r="H137" s="103">
        <v>0</v>
      </c>
      <c r="I137" s="156">
        <f t="shared" si="15"/>
        <v>50</v>
      </c>
      <c r="J137" s="103">
        <f t="shared" si="21"/>
        <v>16.761873141477341</v>
      </c>
      <c r="K137" s="103">
        <f t="shared" si="22"/>
        <v>5.2381268585226586</v>
      </c>
      <c r="L137" s="103">
        <f t="shared" si="23"/>
        <v>5.7643863812328897</v>
      </c>
      <c r="M137" s="103">
        <f t="shared" si="16"/>
        <v>55.764386381232889</v>
      </c>
      <c r="N137" s="103">
        <f t="shared" si="17"/>
        <v>5.7643863812328888</v>
      </c>
      <c r="O137" s="117">
        <f t="shared" si="24"/>
        <v>0</v>
      </c>
    </row>
    <row r="138" spans="1:15">
      <c r="A138" s="64">
        <v>125</v>
      </c>
      <c r="B138" s="159">
        <f t="shared" si="13"/>
        <v>20000</v>
      </c>
      <c r="C138" s="103">
        <f t="shared" si="14"/>
        <v>10780.969772187462</v>
      </c>
      <c r="D138" s="103">
        <f t="shared" si="25"/>
        <v>8535.533905932738</v>
      </c>
      <c r="E138" s="103">
        <f t="shared" si="18"/>
        <v>65.166707474409137</v>
      </c>
      <c r="F138" s="103">
        <f t="shared" si="19"/>
        <v>16.572113881075918</v>
      </c>
      <c r="G138" s="144">
        <f t="shared" si="20"/>
        <v>22</v>
      </c>
      <c r="H138" s="103">
        <v>0</v>
      </c>
      <c r="I138" s="156">
        <f t="shared" si="15"/>
        <v>50</v>
      </c>
      <c r="J138" s="103">
        <f t="shared" si="21"/>
        <v>16.572113881075918</v>
      </c>
      <c r="K138" s="103">
        <f t="shared" si="22"/>
        <v>5.4278861189240821</v>
      </c>
      <c r="L138" s="103">
        <f t="shared" si="23"/>
        <v>6.3071749931252983</v>
      </c>
      <c r="M138" s="103">
        <f t="shared" si="16"/>
        <v>56.307174993125301</v>
      </c>
      <c r="N138" s="103">
        <f t="shared" si="17"/>
        <v>6.3071749931253009</v>
      </c>
      <c r="O138" s="117">
        <f t="shared" si="24"/>
        <v>0</v>
      </c>
    </row>
    <row r="139" spans="1:15">
      <c r="A139" s="64">
        <v>126</v>
      </c>
      <c r="B139" s="159">
        <f t="shared" si="13"/>
        <v>20000</v>
      </c>
      <c r="C139" s="103">
        <f t="shared" si="14"/>
        <v>10885.337365408244</v>
      </c>
      <c r="D139" s="103">
        <f t="shared" si="25"/>
        <v>7938.9262614623622</v>
      </c>
      <c r="E139" s="103">
        <f t="shared" si="18"/>
        <v>64.753965705622349</v>
      </c>
      <c r="F139" s="103">
        <f t="shared" si="19"/>
        <v>16.455370723385862</v>
      </c>
      <c r="G139" s="144">
        <f t="shared" si="20"/>
        <v>22</v>
      </c>
      <c r="H139" s="103">
        <v>0</v>
      </c>
      <c r="I139" s="156">
        <f t="shared" si="15"/>
        <v>50</v>
      </c>
      <c r="J139" s="103">
        <f t="shared" si="21"/>
        <v>16.455370723385862</v>
      </c>
      <c r="K139" s="103">
        <f t="shared" si="22"/>
        <v>5.5446292766141383</v>
      </c>
      <c r="L139" s="103">
        <f t="shared" si="23"/>
        <v>6.8616379207867118</v>
      </c>
      <c r="M139" s="103">
        <f t="shared" si="16"/>
        <v>56.861637920786713</v>
      </c>
      <c r="N139" s="103">
        <f t="shared" si="17"/>
        <v>6.8616379207867126</v>
      </c>
      <c r="O139" s="117">
        <f t="shared" si="24"/>
        <v>0</v>
      </c>
    </row>
    <row r="140" spans="1:15">
      <c r="A140" s="64">
        <v>127</v>
      </c>
      <c r="B140" s="159">
        <f t="shared" si="13"/>
        <v>20000</v>
      </c>
      <c r="C140" s="103">
        <f t="shared" si="14"/>
        <v>10949.546102137776</v>
      </c>
      <c r="D140" s="103">
        <f t="shared" si="25"/>
        <v>7269.9524986977349</v>
      </c>
      <c r="E140" s="103">
        <f t="shared" si="18"/>
        <v>64.41655654219764</v>
      </c>
      <c r="F140" s="103">
        <f t="shared" si="19"/>
        <v>16.413004959736455</v>
      </c>
      <c r="G140" s="144">
        <f t="shared" si="20"/>
        <v>22</v>
      </c>
      <c r="H140" s="103">
        <v>0</v>
      </c>
      <c r="I140" s="156">
        <f t="shared" si="15"/>
        <v>50</v>
      </c>
      <c r="J140" s="103">
        <f t="shared" si="21"/>
        <v>16.413004959736455</v>
      </c>
      <c r="K140" s="103">
        <f t="shared" si="22"/>
        <v>5.5869950402635453</v>
      </c>
      <c r="L140" s="103">
        <f t="shared" si="23"/>
        <v>7.4203374248130665</v>
      </c>
      <c r="M140" s="103">
        <f t="shared" si="16"/>
        <v>57.42033742481307</v>
      </c>
      <c r="N140" s="103">
        <f t="shared" si="17"/>
        <v>7.42033742481307</v>
      </c>
      <c r="O140" s="117">
        <f t="shared" si="24"/>
        <v>0</v>
      </c>
    </row>
    <row r="141" spans="1:15">
      <c r="A141" s="64">
        <v>128</v>
      </c>
      <c r="B141" s="159">
        <f t="shared" ref="B141:B181" si="26">$C$2 +O140</f>
        <v>20000</v>
      </c>
      <c r="C141" s="103">
        <f t="shared" ref="C141:C181" si="27">B141-$O$5*F140</f>
        <v>10972.847272144951</v>
      </c>
      <c r="D141" s="103">
        <f t="shared" si="25"/>
        <v>6545.0849718747377</v>
      </c>
      <c r="E141" s="103">
        <f t="shared" si="18"/>
        <v>64.158095653668454</v>
      </c>
      <c r="F141" s="103">
        <f t="shared" si="19"/>
        <v>16.444664575379004</v>
      </c>
      <c r="G141" s="144">
        <f t="shared" si="20"/>
        <v>22</v>
      </c>
      <c r="H141" s="103">
        <v>0</v>
      </c>
      <c r="I141" s="156">
        <f t="shared" ref="I141:I181" si="28">$C$9</f>
        <v>50</v>
      </c>
      <c r="J141" s="103">
        <f t="shared" si="21"/>
        <v>16.444664575379004</v>
      </c>
      <c r="K141" s="103">
        <f t="shared" si="22"/>
        <v>5.5553354246209956</v>
      </c>
      <c r="L141" s="103">
        <f t="shared" si="23"/>
        <v>7.9758709672751662</v>
      </c>
      <c r="M141" s="103">
        <f t="shared" ref="M141:M181" si="29">L141+I141</f>
        <v>57.975870967275164</v>
      </c>
      <c r="N141" s="103">
        <f t="shared" ref="N141:N181" si="30">M141-$C$7</f>
        <v>7.9758709672751635</v>
      </c>
      <c r="O141" s="117">
        <f t="shared" si="24"/>
        <v>0</v>
      </c>
    </row>
    <row r="142" spans="1:15">
      <c r="A142" s="64">
        <v>129</v>
      </c>
      <c r="B142" s="159">
        <f t="shared" si="26"/>
        <v>20000</v>
      </c>
      <c r="C142" s="103">
        <f t="shared" si="27"/>
        <v>10955.434483541547</v>
      </c>
      <c r="D142" s="103">
        <f t="shared" si="25"/>
        <v>5782.1723252011543</v>
      </c>
      <c r="E142" s="103">
        <f t="shared" ref="E142:E181" si="31">($C$2*$C$4/$C$1-D142*$C$4/$C$1+E141)*$J$5</f>
        <v>63.98036919136424</v>
      </c>
      <c r="F142" s="103">
        <f t="shared" ref="F142:F181" si="32">(C142*$C$4/$C$1-D142*$C$4/$C$1+F141)*$J$5</f>
        <v>16.548283698744434</v>
      </c>
      <c r="G142" s="144">
        <f t="shared" ref="G142:G181" si="33">$F$12+H142</f>
        <v>22</v>
      </c>
      <c r="H142" s="103">
        <v>0</v>
      </c>
      <c r="I142" s="156">
        <f t="shared" si="28"/>
        <v>50</v>
      </c>
      <c r="J142" s="103">
        <f t="shared" ref="J142:J181" si="34">F142+H142</f>
        <v>16.548283698744434</v>
      </c>
      <c r="K142" s="103">
        <f t="shared" ref="K142:K181" si="35">G142-F142</f>
        <v>5.4517163012555656</v>
      </c>
      <c r="L142" s="103">
        <f t="shared" ref="L142:L181" si="36">K142*$C$4+L141</f>
        <v>8.5210425974007222</v>
      </c>
      <c r="M142" s="103">
        <f t="shared" si="29"/>
        <v>58.521042597400722</v>
      </c>
      <c r="N142" s="103">
        <f t="shared" si="30"/>
        <v>8.5210425974007222</v>
      </c>
      <c r="O142" s="117">
        <f t="shared" ref="O142:O181" si="37">N142*$O$6</f>
        <v>0</v>
      </c>
    </row>
    <row r="143" spans="1:15">
      <c r="A143" s="64">
        <v>130</v>
      </c>
      <c r="B143" s="159">
        <f t="shared" si="26"/>
        <v>20000</v>
      </c>
      <c r="C143" s="103">
        <f t="shared" si="27"/>
        <v>10898.443965690562</v>
      </c>
      <c r="D143" s="103">
        <f t="shared" si="25"/>
        <v>5000.0000000000009</v>
      </c>
      <c r="E143" s="103">
        <f t="shared" si="31"/>
        <v>63.883287015965124</v>
      </c>
      <c r="F143" s="103">
        <f t="shared" si="32"/>
        <v>16.720124971037553</v>
      </c>
      <c r="G143" s="144">
        <f t="shared" si="33"/>
        <v>22</v>
      </c>
      <c r="H143" s="103">
        <v>0</v>
      </c>
      <c r="I143" s="156">
        <f t="shared" si="28"/>
        <v>50</v>
      </c>
      <c r="J143" s="103">
        <f t="shared" si="34"/>
        <v>16.720124971037553</v>
      </c>
      <c r="K143" s="103">
        <f t="shared" si="35"/>
        <v>5.2798750289624472</v>
      </c>
      <c r="L143" s="103">
        <f t="shared" si="36"/>
        <v>9.0490301002969673</v>
      </c>
      <c r="M143" s="103">
        <f t="shared" si="29"/>
        <v>59.049030100296967</v>
      </c>
      <c r="N143" s="103">
        <f t="shared" si="30"/>
        <v>9.0490301002969673</v>
      </c>
      <c r="O143" s="117">
        <f t="shared" si="37"/>
        <v>0</v>
      </c>
    </row>
    <row r="144" spans="1:15">
      <c r="A144" s="64">
        <v>131</v>
      </c>
      <c r="B144" s="159">
        <f t="shared" si="26"/>
        <v>20000</v>
      </c>
      <c r="C144" s="103">
        <f t="shared" si="27"/>
        <v>10803.931265929346</v>
      </c>
      <c r="D144" s="103">
        <f t="shared" si="25"/>
        <v>4217.8276747988466</v>
      </c>
      <c r="E144" s="103">
        <f t="shared" si="31"/>
        <v>63.864882193644142</v>
      </c>
      <c r="F144" s="103">
        <f t="shared" si="32"/>
        <v>16.9548637367323</v>
      </c>
      <c r="G144" s="144">
        <f t="shared" si="33"/>
        <v>22</v>
      </c>
      <c r="H144" s="103">
        <v>0</v>
      </c>
      <c r="I144" s="156">
        <f t="shared" si="28"/>
        <v>50</v>
      </c>
      <c r="J144" s="103">
        <f t="shared" si="34"/>
        <v>16.9548637367323</v>
      </c>
      <c r="K144" s="103">
        <f t="shared" si="35"/>
        <v>5.0451362632677004</v>
      </c>
      <c r="L144" s="103">
        <f t="shared" si="36"/>
        <v>9.5535437266237366</v>
      </c>
      <c r="M144" s="103">
        <f t="shared" si="29"/>
        <v>59.553543726623737</v>
      </c>
      <c r="N144" s="103">
        <f t="shared" si="30"/>
        <v>9.5535437266237366</v>
      </c>
      <c r="O144" s="117">
        <f t="shared" si="37"/>
        <v>0</v>
      </c>
    </row>
    <row r="145" spans="1:15">
      <c r="A145" s="64">
        <v>132</v>
      </c>
      <c r="B145" s="159">
        <f t="shared" si="26"/>
        <v>20000</v>
      </c>
      <c r="C145" s="103">
        <f t="shared" si="27"/>
        <v>10674.824944797236</v>
      </c>
      <c r="D145" s="103">
        <f t="shared" si="25"/>
        <v>3454.9150281252637</v>
      </c>
      <c r="E145" s="103">
        <f t="shared" si="31"/>
        <v>63.921356771543046</v>
      </c>
      <c r="F145" s="103">
        <f t="shared" si="32"/>
        <v>17.245711930145852</v>
      </c>
      <c r="G145" s="144">
        <f t="shared" si="33"/>
        <v>22</v>
      </c>
      <c r="H145" s="103">
        <v>0</v>
      </c>
      <c r="I145" s="156">
        <f t="shared" si="28"/>
        <v>50</v>
      </c>
      <c r="J145" s="103">
        <f t="shared" si="34"/>
        <v>17.245711930145852</v>
      </c>
      <c r="K145" s="103">
        <f t="shared" si="35"/>
        <v>4.7542880698541481</v>
      </c>
      <c r="L145" s="103">
        <f t="shared" si="36"/>
        <v>10.028972533609151</v>
      </c>
      <c r="M145" s="103">
        <f t="shared" si="29"/>
        <v>60.028972533609149</v>
      </c>
      <c r="N145" s="103">
        <f t="shared" si="30"/>
        <v>10.028972533609149</v>
      </c>
      <c r="O145" s="117">
        <f t="shared" si="37"/>
        <v>0</v>
      </c>
    </row>
    <row r="146" spans="1:15">
      <c r="A146" s="64">
        <v>133</v>
      </c>
      <c r="B146" s="159">
        <f t="shared" si="26"/>
        <v>20000</v>
      </c>
      <c r="C146" s="103">
        <f t="shared" si="27"/>
        <v>10514.858438419782</v>
      </c>
      <c r="D146" s="103">
        <f t="shared" si="25"/>
        <v>2730.0475013022628</v>
      </c>
      <c r="E146" s="103">
        <f t="shared" si="31"/>
        <v>64.047172703817395</v>
      </c>
      <c r="F146" s="103">
        <f t="shared" si="32"/>
        <v>17.584578559861079</v>
      </c>
      <c r="G146" s="144">
        <f t="shared" si="33"/>
        <v>22</v>
      </c>
      <c r="H146" s="103">
        <v>0</v>
      </c>
      <c r="I146" s="156">
        <f t="shared" si="28"/>
        <v>50</v>
      </c>
      <c r="J146" s="103">
        <f t="shared" si="34"/>
        <v>17.584578559861079</v>
      </c>
      <c r="K146" s="103">
        <f t="shared" si="35"/>
        <v>4.4154214401389211</v>
      </c>
      <c r="L146" s="103">
        <f t="shared" si="36"/>
        <v>10.470514677623044</v>
      </c>
      <c r="M146" s="103">
        <f t="shared" si="29"/>
        <v>60.470514677623044</v>
      </c>
      <c r="N146" s="103">
        <f t="shared" si="30"/>
        <v>10.470514677623044</v>
      </c>
      <c r="O146" s="117">
        <f t="shared" si="37"/>
        <v>0</v>
      </c>
    </row>
    <row r="147" spans="1:15">
      <c r="A147" s="64">
        <v>134</v>
      </c>
      <c r="B147" s="159">
        <f t="shared" si="26"/>
        <v>20000</v>
      </c>
      <c r="C147" s="103">
        <f t="shared" si="27"/>
        <v>10328.481792076407</v>
      </c>
      <c r="D147" s="103">
        <f t="shared" si="25"/>
        <v>2061.0737385376315</v>
      </c>
      <c r="E147" s="103">
        <f t="shared" si="31"/>
        <v>64.235185687769402</v>
      </c>
      <c r="F147" s="103">
        <f t="shared" si="32"/>
        <v>17.962262795331668</v>
      </c>
      <c r="G147" s="144">
        <f t="shared" si="33"/>
        <v>22</v>
      </c>
      <c r="H147" s="103">
        <v>0</v>
      </c>
      <c r="I147" s="156">
        <f t="shared" si="28"/>
        <v>50</v>
      </c>
      <c r="J147" s="103">
        <f t="shared" si="34"/>
        <v>17.962262795331668</v>
      </c>
      <c r="K147" s="103">
        <f t="shared" si="35"/>
        <v>4.037737204668332</v>
      </c>
      <c r="L147" s="103">
        <f t="shared" si="36"/>
        <v>10.874288398089877</v>
      </c>
      <c r="M147" s="103">
        <f t="shared" si="29"/>
        <v>60.874288398089874</v>
      </c>
      <c r="N147" s="103">
        <f t="shared" si="30"/>
        <v>10.874288398089874</v>
      </c>
      <c r="O147" s="117">
        <f t="shared" si="37"/>
        <v>0</v>
      </c>
    </row>
    <row r="148" spans="1:15">
      <c r="A148" s="64">
        <v>135</v>
      </c>
      <c r="B148" s="159">
        <f t="shared" si="26"/>
        <v>20000</v>
      </c>
      <c r="C148" s="103">
        <f t="shared" si="27"/>
        <v>10120.755462567582</v>
      </c>
      <c r="D148" s="103">
        <f t="shared" si="25"/>
        <v>1464.4660940672632</v>
      </c>
      <c r="E148" s="103">
        <f t="shared" si="31"/>
        <v>64.47681861303677</v>
      </c>
      <c r="F148" s="103">
        <f t="shared" si="32"/>
        <v>18.368674860665077</v>
      </c>
      <c r="G148" s="144">
        <f t="shared" si="33"/>
        <v>22</v>
      </c>
      <c r="H148" s="103">
        <v>0</v>
      </c>
      <c r="I148" s="156">
        <f t="shared" si="28"/>
        <v>50</v>
      </c>
      <c r="J148" s="103">
        <f t="shared" si="34"/>
        <v>18.368674860665077</v>
      </c>
      <c r="K148" s="103">
        <f t="shared" si="35"/>
        <v>3.6313251393349226</v>
      </c>
      <c r="L148" s="103">
        <f t="shared" si="36"/>
        <v>11.237420912023369</v>
      </c>
      <c r="M148" s="103">
        <f t="shared" si="29"/>
        <v>61.237420912023367</v>
      </c>
      <c r="N148" s="103">
        <f t="shared" si="30"/>
        <v>11.237420912023367</v>
      </c>
      <c r="O148" s="117">
        <f t="shared" si="37"/>
        <v>0</v>
      </c>
    </row>
    <row r="149" spans="1:15">
      <c r="A149" s="64">
        <v>136</v>
      </c>
      <c r="B149" s="159">
        <f t="shared" si="26"/>
        <v>20000</v>
      </c>
      <c r="C149" s="103">
        <f t="shared" si="27"/>
        <v>9897.2288266342075</v>
      </c>
      <c r="D149" s="103">
        <f t="shared" si="25"/>
        <v>954.91502812526335</v>
      </c>
      <c r="E149" s="103">
        <f t="shared" si="31"/>
        <v>64.762270351438303</v>
      </c>
      <c r="F149" s="103">
        <f t="shared" si="32"/>
        <v>18.793079259039974</v>
      </c>
      <c r="G149" s="144">
        <f t="shared" si="33"/>
        <v>22</v>
      </c>
      <c r="H149" s="103">
        <v>0</v>
      </c>
      <c r="I149" s="156">
        <f t="shared" si="28"/>
        <v>50</v>
      </c>
      <c r="J149" s="103">
        <f t="shared" si="34"/>
        <v>18.793079259039974</v>
      </c>
      <c r="K149" s="103">
        <f t="shared" si="35"/>
        <v>3.206920740960026</v>
      </c>
      <c r="L149" s="103">
        <f t="shared" si="36"/>
        <v>11.558112986119372</v>
      </c>
      <c r="M149" s="103">
        <f t="shared" si="29"/>
        <v>61.558112986119369</v>
      </c>
      <c r="N149" s="103">
        <f t="shared" si="30"/>
        <v>11.558112986119369</v>
      </c>
      <c r="O149" s="117">
        <f t="shared" si="37"/>
        <v>0</v>
      </c>
    </row>
    <row r="150" spans="1:15">
      <c r="A150" s="64">
        <v>137</v>
      </c>
      <c r="B150" s="159">
        <f t="shared" si="26"/>
        <v>20000</v>
      </c>
      <c r="C150" s="103">
        <f t="shared" si="27"/>
        <v>9663.8064075280145</v>
      </c>
      <c r="D150" s="103">
        <f t="shared" si="25"/>
        <v>544.96737905815939</v>
      </c>
      <c r="E150" s="103">
        <f t="shared" si="31"/>
        <v>65.08075474490974</v>
      </c>
      <c r="F150" s="103">
        <f t="shared" si="32"/>
        <v>19.224354304279959</v>
      </c>
      <c r="G150" s="144">
        <f t="shared" si="33"/>
        <v>22</v>
      </c>
      <c r="H150" s="103">
        <v>0</v>
      </c>
      <c r="I150" s="156">
        <f t="shared" si="28"/>
        <v>50</v>
      </c>
      <c r="J150" s="103">
        <f t="shared" si="34"/>
        <v>19.224354304279959</v>
      </c>
      <c r="K150" s="103">
        <f t="shared" si="35"/>
        <v>2.7756456957200406</v>
      </c>
      <c r="L150" s="103">
        <f t="shared" si="36"/>
        <v>11.835677555691376</v>
      </c>
      <c r="M150" s="103">
        <f t="shared" si="29"/>
        <v>61.835677555691376</v>
      </c>
      <c r="N150" s="103">
        <f t="shared" si="30"/>
        <v>11.835677555691376</v>
      </c>
      <c r="O150" s="117">
        <f t="shared" si="37"/>
        <v>0</v>
      </c>
    </row>
    <row r="151" spans="1:15">
      <c r="A151" s="64">
        <v>138</v>
      </c>
      <c r="B151" s="159">
        <f t="shared" si="26"/>
        <v>20000</v>
      </c>
      <c r="C151" s="103">
        <f t="shared" si="27"/>
        <v>9426.605132646022</v>
      </c>
      <c r="D151" s="103">
        <f t="shared" si="25"/>
        <v>244.71741852423236</v>
      </c>
      <c r="E151" s="103">
        <f t="shared" si="31"/>
        <v>65.420763905421779</v>
      </c>
      <c r="F151" s="103">
        <f t="shared" si="32"/>
        <v>19.651261537260623</v>
      </c>
      <c r="G151" s="144">
        <f t="shared" si="33"/>
        <v>22</v>
      </c>
      <c r="H151" s="103">
        <v>0</v>
      </c>
      <c r="I151" s="156">
        <f t="shared" si="28"/>
        <v>50</v>
      </c>
      <c r="J151" s="103">
        <f t="shared" si="34"/>
        <v>19.651261537260623</v>
      </c>
      <c r="K151" s="103">
        <f t="shared" si="35"/>
        <v>2.3487384627393766</v>
      </c>
      <c r="L151" s="103">
        <f t="shared" si="36"/>
        <v>12.070551401965314</v>
      </c>
      <c r="M151" s="103">
        <f t="shared" si="29"/>
        <v>62.070551401965318</v>
      </c>
      <c r="N151" s="103">
        <f t="shared" si="30"/>
        <v>12.070551401965318</v>
      </c>
      <c r="O151" s="117">
        <f t="shared" si="37"/>
        <v>0</v>
      </c>
    </row>
    <row r="152" spans="1:15">
      <c r="A152" s="64">
        <v>139</v>
      </c>
      <c r="B152" s="159">
        <f t="shared" si="26"/>
        <v>20000</v>
      </c>
      <c r="C152" s="103">
        <f t="shared" si="27"/>
        <v>9191.8061545066575</v>
      </c>
      <c r="D152" s="103">
        <f t="shared" si="25"/>
        <v>61.558297024311706</v>
      </c>
      <c r="E152" s="103">
        <f t="shared" si="31"/>
        <v>65.770349342165218</v>
      </c>
      <c r="F152" s="103">
        <f t="shared" si="32"/>
        <v>20.062718363911081</v>
      </c>
      <c r="G152" s="144">
        <f t="shared" si="33"/>
        <v>22</v>
      </c>
      <c r="H152" s="103">
        <v>0</v>
      </c>
      <c r="I152" s="156">
        <f t="shared" si="28"/>
        <v>50</v>
      </c>
      <c r="J152" s="103">
        <f t="shared" si="34"/>
        <v>20.062718363911081</v>
      </c>
      <c r="K152" s="103">
        <f t="shared" si="35"/>
        <v>1.9372816360889189</v>
      </c>
      <c r="L152" s="103">
        <f t="shared" si="36"/>
        <v>12.264279565574206</v>
      </c>
      <c r="M152" s="103">
        <f t="shared" si="29"/>
        <v>62.264279565574206</v>
      </c>
      <c r="N152" s="103">
        <f t="shared" si="30"/>
        <v>12.264279565574206</v>
      </c>
      <c r="O152" s="117">
        <f t="shared" si="37"/>
        <v>0</v>
      </c>
    </row>
    <row r="153" spans="1:15">
      <c r="A153" s="64">
        <v>140</v>
      </c>
      <c r="B153" s="159">
        <f t="shared" si="26"/>
        <v>20000</v>
      </c>
      <c r="C153" s="103">
        <f t="shared" si="27"/>
        <v>8965.5048998489056</v>
      </c>
      <c r="D153" s="103">
        <f t="shared" si="25"/>
        <v>0</v>
      </c>
      <c r="E153" s="103">
        <f t="shared" si="31"/>
        <v>66.117413992356319</v>
      </c>
      <c r="F153" s="103">
        <f t="shared" si="32"/>
        <v>20.448067174532657</v>
      </c>
      <c r="G153" s="144">
        <f t="shared" si="33"/>
        <v>22</v>
      </c>
      <c r="H153" s="103">
        <v>0</v>
      </c>
      <c r="I153" s="156">
        <f t="shared" si="28"/>
        <v>50</v>
      </c>
      <c r="J153" s="103">
        <f t="shared" si="34"/>
        <v>20.448067174532657</v>
      </c>
      <c r="K153" s="103">
        <f t="shared" si="35"/>
        <v>1.5519328254673432</v>
      </c>
      <c r="L153" s="103">
        <f t="shared" si="36"/>
        <v>12.419472848120941</v>
      </c>
      <c r="M153" s="103">
        <f t="shared" si="29"/>
        <v>62.41947284812094</v>
      </c>
      <c r="N153" s="103">
        <f t="shared" si="30"/>
        <v>12.41947284812094</v>
      </c>
      <c r="O153" s="117">
        <f t="shared" si="37"/>
        <v>0</v>
      </c>
    </row>
    <row r="154" spans="1:15">
      <c r="A154" s="64">
        <v>141</v>
      </c>
      <c r="B154" s="159">
        <f t="shared" si="26"/>
        <v>20000</v>
      </c>
      <c r="C154" s="103">
        <f t="shared" si="27"/>
        <v>8753.5630540070397</v>
      </c>
      <c r="D154" s="103">
        <v>0</v>
      </c>
      <c r="E154" s="103">
        <f t="shared" si="31"/>
        <v>66.456013651079346</v>
      </c>
      <c r="F154" s="103">
        <f t="shared" si="32"/>
        <v>20.803339980422791</v>
      </c>
      <c r="G154" s="144">
        <f t="shared" si="33"/>
        <v>22</v>
      </c>
      <c r="H154" s="103">
        <v>0</v>
      </c>
      <c r="I154" s="156">
        <f t="shared" si="28"/>
        <v>50</v>
      </c>
      <c r="J154" s="103">
        <f t="shared" si="34"/>
        <v>20.803339980422791</v>
      </c>
      <c r="K154" s="103">
        <f t="shared" si="35"/>
        <v>1.1966600195772088</v>
      </c>
      <c r="L154" s="103">
        <f t="shared" si="36"/>
        <v>12.539138850078663</v>
      </c>
      <c r="M154" s="103">
        <f t="shared" si="29"/>
        <v>62.539138850078665</v>
      </c>
      <c r="N154" s="103">
        <f t="shared" si="30"/>
        <v>12.539138850078665</v>
      </c>
      <c r="O154" s="117">
        <f t="shared" si="37"/>
        <v>0</v>
      </c>
    </row>
    <row r="155" spans="1:15">
      <c r="A155" s="64">
        <v>142</v>
      </c>
      <c r="B155" s="159">
        <f t="shared" si="26"/>
        <v>20000</v>
      </c>
      <c r="C155" s="103">
        <f t="shared" si="27"/>
        <v>8558.1630107674646</v>
      </c>
      <c r="D155" s="103">
        <v>0</v>
      </c>
      <c r="E155" s="103">
        <f t="shared" si="31"/>
        <v>66.786354781540837</v>
      </c>
      <c r="F155" s="103">
        <f t="shared" si="32"/>
        <v>21.130884177072723</v>
      </c>
      <c r="G155" s="144">
        <f t="shared" si="33"/>
        <v>22</v>
      </c>
      <c r="H155" s="103">
        <v>0</v>
      </c>
      <c r="I155" s="156">
        <f t="shared" si="28"/>
        <v>50</v>
      </c>
      <c r="J155" s="103">
        <f t="shared" si="34"/>
        <v>21.130884177072723</v>
      </c>
      <c r="K155" s="103">
        <f t="shared" si="35"/>
        <v>0.86911582292727729</v>
      </c>
      <c r="L155" s="103">
        <f t="shared" si="36"/>
        <v>12.626050432371391</v>
      </c>
      <c r="M155" s="103">
        <f t="shared" si="29"/>
        <v>62.626050432371393</v>
      </c>
      <c r="N155" s="103">
        <f t="shared" si="30"/>
        <v>12.626050432371393</v>
      </c>
      <c r="O155" s="117">
        <f t="shared" si="37"/>
        <v>0</v>
      </c>
    </row>
    <row r="156" spans="1:15">
      <c r="A156" s="64">
        <v>143</v>
      </c>
      <c r="B156" s="159">
        <f t="shared" si="26"/>
        <v>20000</v>
      </c>
      <c r="C156" s="103">
        <f t="shared" si="27"/>
        <v>8378.0137026100019</v>
      </c>
      <c r="D156" s="103">
        <v>0</v>
      </c>
      <c r="E156" s="103">
        <f t="shared" si="31"/>
        <v>67.108638811259354</v>
      </c>
      <c r="F156" s="103">
        <f t="shared" si="32"/>
        <v>21.432863948618269</v>
      </c>
      <c r="G156" s="144">
        <f t="shared" si="33"/>
        <v>22</v>
      </c>
      <c r="H156" s="103">
        <v>0</v>
      </c>
      <c r="I156" s="156">
        <f t="shared" si="28"/>
        <v>50</v>
      </c>
      <c r="J156" s="103">
        <f t="shared" si="34"/>
        <v>21.432863948618269</v>
      </c>
      <c r="K156" s="103">
        <f t="shared" si="35"/>
        <v>0.56713605138173051</v>
      </c>
      <c r="L156" s="103">
        <f t="shared" si="36"/>
        <v>12.682764037509564</v>
      </c>
      <c r="M156" s="103">
        <f t="shared" si="29"/>
        <v>62.682764037509564</v>
      </c>
      <c r="N156" s="103">
        <f t="shared" si="30"/>
        <v>12.682764037509564</v>
      </c>
      <c r="O156" s="117">
        <f t="shared" si="37"/>
        <v>0</v>
      </c>
    </row>
    <row r="157" spans="1:15">
      <c r="A157" s="64">
        <v>144</v>
      </c>
      <c r="B157" s="159">
        <f t="shared" si="26"/>
        <v>20000</v>
      </c>
      <c r="C157" s="103">
        <f t="shared" si="27"/>
        <v>8211.924828259951</v>
      </c>
      <c r="D157" s="103">
        <v>0</v>
      </c>
      <c r="E157" s="103">
        <f t="shared" si="31"/>
        <v>67.423062254887185</v>
      </c>
      <c r="F157" s="103">
        <f t="shared" si="32"/>
        <v>21.711274567262699</v>
      </c>
      <c r="G157" s="144">
        <f t="shared" si="33"/>
        <v>22</v>
      </c>
      <c r="H157" s="103">
        <v>0</v>
      </c>
      <c r="I157" s="156">
        <f t="shared" si="28"/>
        <v>50</v>
      </c>
      <c r="J157" s="103">
        <f t="shared" si="34"/>
        <v>21.711274567262699</v>
      </c>
      <c r="K157" s="103">
        <f t="shared" si="35"/>
        <v>0.28872543273730145</v>
      </c>
      <c r="L157" s="103">
        <f t="shared" si="36"/>
        <v>12.711636580783294</v>
      </c>
      <c r="M157" s="103">
        <f t="shared" si="29"/>
        <v>62.711636580783292</v>
      </c>
      <c r="N157" s="103">
        <f t="shared" si="30"/>
        <v>12.711636580783292</v>
      </c>
      <c r="O157" s="117">
        <f t="shared" si="37"/>
        <v>0</v>
      </c>
    </row>
    <row r="158" spans="1:15">
      <c r="A158" s="64">
        <v>145</v>
      </c>
      <c r="B158" s="159">
        <f t="shared" si="26"/>
        <v>20000</v>
      </c>
      <c r="C158" s="103">
        <f t="shared" si="27"/>
        <v>8058.7989880055156</v>
      </c>
      <c r="D158" s="103">
        <v>0</v>
      </c>
      <c r="E158" s="103">
        <f t="shared" si="31"/>
        <v>67.729816834036285</v>
      </c>
      <c r="F158" s="103">
        <f t="shared" si="32"/>
        <v>21.967955576647075</v>
      </c>
      <c r="G158" s="144">
        <f t="shared" si="33"/>
        <v>22</v>
      </c>
      <c r="H158" s="103">
        <v>0</v>
      </c>
      <c r="I158" s="156">
        <f t="shared" si="28"/>
        <v>50</v>
      </c>
      <c r="J158" s="103">
        <f t="shared" si="34"/>
        <v>21.967955576647075</v>
      </c>
      <c r="K158" s="103">
        <f t="shared" si="35"/>
        <v>3.2044423352925122E-2</v>
      </c>
      <c r="L158" s="103">
        <f t="shared" si="36"/>
        <v>12.714841023118586</v>
      </c>
      <c r="M158" s="103">
        <f t="shared" si="29"/>
        <v>62.714841023118588</v>
      </c>
      <c r="N158" s="103">
        <f t="shared" si="30"/>
        <v>12.714841023118588</v>
      </c>
      <c r="O158" s="117">
        <f t="shared" si="37"/>
        <v>0</v>
      </c>
    </row>
    <row r="159" spans="1:15">
      <c r="A159" s="64">
        <v>146</v>
      </c>
      <c r="B159" s="159">
        <f t="shared" si="26"/>
        <v>20000</v>
      </c>
      <c r="C159" s="103">
        <f t="shared" si="27"/>
        <v>7917.624432844108</v>
      </c>
      <c r="D159" s="103">
        <v>0</v>
      </c>
      <c r="E159" s="103">
        <f t="shared" si="31"/>
        <v>68.029089594181741</v>
      </c>
      <c r="F159" s="103">
        <f t="shared" si="32"/>
        <v>22.204602946274623</v>
      </c>
      <c r="G159" s="144">
        <f t="shared" si="33"/>
        <v>22</v>
      </c>
      <c r="H159" s="103">
        <v>0</v>
      </c>
      <c r="I159" s="156">
        <f t="shared" si="28"/>
        <v>50</v>
      </c>
      <c r="J159" s="103">
        <f t="shared" si="34"/>
        <v>22.204602946274623</v>
      </c>
      <c r="K159" s="103">
        <f t="shared" si="35"/>
        <v>-0.20460294627462261</v>
      </c>
      <c r="L159" s="103">
        <f t="shared" si="36"/>
        <v>12.694380728491124</v>
      </c>
      <c r="M159" s="103">
        <f t="shared" si="29"/>
        <v>62.694380728491126</v>
      </c>
      <c r="N159" s="103">
        <f t="shared" si="30"/>
        <v>12.694380728491126</v>
      </c>
      <c r="O159" s="117">
        <f t="shared" si="37"/>
        <v>0</v>
      </c>
    </row>
    <row r="160" spans="1:15">
      <c r="A160" s="64">
        <v>147</v>
      </c>
      <c r="B160" s="159">
        <f t="shared" si="26"/>
        <v>20000</v>
      </c>
      <c r="C160" s="103">
        <f t="shared" si="27"/>
        <v>7787.4683795489582</v>
      </c>
      <c r="D160" s="103">
        <v>0</v>
      </c>
      <c r="E160" s="103">
        <f t="shared" si="31"/>
        <v>68.3210630187139</v>
      </c>
      <c r="F160" s="103">
        <f t="shared" si="32"/>
        <v>22.422780277297093</v>
      </c>
      <c r="G160" s="144">
        <f t="shared" si="33"/>
        <v>22</v>
      </c>
      <c r="H160" s="103">
        <v>0</v>
      </c>
      <c r="I160" s="156">
        <f t="shared" si="28"/>
        <v>50</v>
      </c>
      <c r="J160" s="103">
        <f t="shared" si="34"/>
        <v>22.422780277297093</v>
      </c>
      <c r="K160" s="103">
        <f t="shared" si="35"/>
        <v>-0.42278027729709322</v>
      </c>
      <c r="L160" s="103">
        <f t="shared" si="36"/>
        <v>12.652102700761414</v>
      </c>
      <c r="M160" s="103">
        <f t="shared" si="29"/>
        <v>62.652102700761418</v>
      </c>
      <c r="N160" s="103">
        <f t="shared" si="30"/>
        <v>12.652102700761418</v>
      </c>
      <c r="O160" s="117">
        <f t="shared" si="37"/>
        <v>0</v>
      </c>
    </row>
    <row r="161" spans="1:15">
      <c r="A161" s="64">
        <v>148</v>
      </c>
      <c r="B161" s="159">
        <f t="shared" si="26"/>
        <v>20000</v>
      </c>
      <c r="C161" s="103">
        <f t="shared" si="27"/>
        <v>7667.4708474865984</v>
      </c>
      <c r="D161" s="103">
        <v>0</v>
      </c>
      <c r="E161" s="103">
        <f t="shared" si="31"/>
        <v>68.605915140208694</v>
      </c>
      <c r="F161" s="103">
        <f t="shared" si="32"/>
        <v>22.623929133703175</v>
      </c>
      <c r="G161" s="144">
        <f t="shared" si="33"/>
        <v>22</v>
      </c>
      <c r="H161" s="103">
        <v>0</v>
      </c>
      <c r="I161" s="156">
        <f t="shared" si="28"/>
        <v>50</v>
      </c>
      <c r="J161" s="103">
        <f t="shared" si="34"/>
        <v>22.623929133703175</v>
      </c>
      <c r="K161" s="103">
        <f t="shared" si="35"/>
        <v>-0.62392913370317515</v>
      </c>
      <c r="L161" s="103">
        <f t="shared" si="36"/>
        <v>12.589709787391097</v>
      </c>
      <c r="M161" s="103">
        <f t="shared" si="29"/>
        <v>62.589709787391101</v>
      </c>
      <c r="N161" s="103">
        <f t="shared" si="30"/>
        <v>12.589709787391101</v>
      </c>
      <c r="O161" s="117">
        <f t="shared" si="37"/>
        <v>0</v>
      </c>
    </row>
    <row r="162" spans="1:15">
      <c r="A162" s="64">
        <v>149</v>
      </c>
      <c r="B162" s="159">
        <f t="shared" si="26"/>
        <v>20000</v>
      </c>
      <c r="C162" s="103">
        <f t="shared" si="27"/>
        <v>7556.8389764632539</v>
      </c>
      <c r="D162" s="103">
        <v>0</v>
      </c>
      <c r="E162" s="103">
        <f t="shared" si="31"/>
        <v>68.883819648984101</v>
      </c>
      <c r="F162" s="103">
        <f t="shared" si="32"/>
        <v>22.809378567170246</v>
      </c>
      <c r="G162" s="144">
        <f t="shared" si="33"/>
        <v>22</v>
      </c>
      <c r="H162" s="103">
        <v>0</v>
      </c>
      <c r="I162" s="156">
        <f t="shared" si="28"/>
        <v>50</v>
      </c>
      <c r="J162" s="103">
        <f t="shared" si="34"/>
        <v>22.809378567170246</v>
      </c>
      <c r="K162" s="103">
        <f t="shared" si="35"/>
        <v>-0.80937856717024559</v>
      </c>
      <c r="L162" s="103">
        <f t="shared" si="36"/>
        <v>12.508771930674072</v>
      </c>
      <c r="M162" s="103">
        <f t="shared" si="29"/>
        <v>62.508771930674072</v>
      </c>
      <c r="N162" s="103">
        <f t="shared" si="30"/>
        <v>12.508771930674072</v>
      </c>
      <c r="O162" s="117">
        <f t="shared" si="37"/>
        <v>0</v>
      </c>
    </row>
    <row r="163" spans="1:15">
      <c r="A163" s="64">
        <v>150</v>
      </c>
      <c r="B163" s="159">
        <f t="shared" si="26"/>
        <v>20000</v>
      </c>
      <c r="C163" s="103">
        <f t="shared" si="27"/>
        <v>7454.8417880563647</v>
      </c>
      <c r="D163" s="103">
        <v>0</v>
      </c>
      <c r="E163" s="103">
        <f t="shared" si="31"/>
        <v>69.154945999008888</v>
      </c>
      <c r="F163" s="103">
        <f t="shared" si="32"/>
        <v>22.980353898513059</v>
      </c>
      <c r="G163" s="144">
        <f t="shared" si="33"/>
        <v>22</v>
      </c>
      <c r="H163" s="103">
        <v>0</v>
      </c>
      <c r="I163" s="156">
        <f t="shared" si="28"/>
        <v>50</v>
      </c>
      <c r="J163" s="103">
        <f t="shared" si="34"/>
        <v>22.980353898513059</v>
      </c>
      <c r="K163" s="103">
        <f t="shared" si="35"/>
        <v>-0.98035389851305865</v>
      </c>
      <c r="L163" s="103">
        <f t="shared" si="36"/>
        <v>12.410736540822766</v>
      </c>
      <c r="M163" s="103">
        <f t="shared" si="29"/>
        <v>62.410736540822768</v>
      </c>
      <c r="N163" s="103">
        <f t="shared" si="30"/>
        <v>12.410736540822768</v>
      </c>
      <c r="O163" s="117">
        <f t="shared" si="37"/>
        <v>0</v>
      </c>
    </row>
    <row r="164" spans="1:15">
      <c r="A164" s="64">
        <v>151</v>
      </c>
      <c r="B164" s="159">
        <f t="shared" si="26"/>
        <v>20000</v>
      </c>
      <c r="C164" s="103">
        <f t="shared" si="27"/>
        <v>7360.8053558178181</v>
      </c>
      <c r="D164" s="103">
        <v>0</v>
      </c>
      <c r="E164" s="103">
        <f t="shared" si="31"/>
        <v>69.419459511228183</v>
      </c>
      <c r="F164" s="103">
        <f t="shared" si="32"/>
        <v>23.137984813751064</v>
      </c>
      <c r="G164" s="144">
        <f t="shared" si="33"/>
        <v>22</v>
      </c>
      <c r="H164" s="103">
        <v>0</v>
      </c>
      <c r="I164" s="156">
        <f t="shared" si="28"/>
        <v>50</v>
      </c>
      <c r="J164" s="103">
        <f t="shared" si="34"/>
        <v>23.137984813751064</v>
      </c>
      <c r="K164" s="103">
        <f t="shared" si="35"/>
        <v>-1.1379848137510642</v>
      </c>
      <c r="L164" s="103">
        <f t="shared" si="36"/>
        <v>12.29693805944766</v>
      </c>
      <c r="M164" s="103">
        <f t="shared" si="29"/>
        <v>62.296938059447662</v>
      </c>
      <c r="N164" s="103">
        <f t="shared" si="30"/>
        <v>12.296938059447662</v>
      </c>
      <c r="O164" s="117">
        <f t="shared" si="37"/>
        <v>0</v>
      </c>
    </row>
    <row r="165" spans="1:15">
      <c r="A165" s="64">
        <v>152</v>
      </c>
      <c r="B165" s="159">
        <f t="shared" si="26"/>
        <v>20000</v>
      </c>
      <c r="C165" s="103">
        <f t="shared" si="27"/>
        <v>7274.1083524369151</v>
      </c>
      <c r="D165" s="103">
        <v>0</v>
      </c>
      <c r="E165" s="103">
        <f t="shared" si="31"/>
        <v>69.677521474368959</v>
      </c>
      <c r="F165" s="103">
        <f t="shared" si="32"/>
        <v>23.283312828287571</v>
      </c>
      <c r="G165" s="144">
        <f t="shared" si="33"/>
        <v>22</v>
      </c>
      <c r="H165" s="103">
        <v>0</v>
      </c>
      <c r="I165" s="156">
        <f t="shared" si="28"/>
        <v>50</v>
      </c>
      <c r="J165" s="103">
        <f t="shared" si="34"/>
        <v>23.283312828287571</v>
      </c>
      <c r="K165" s="103">
        <f t="shared" si="35"/>
        <v>-1.2833128282875705</v>
      </c>
      <c r="L165" s="103">
        <f t="shared" si="36"/>
        <v>12.168606776618903</v>
      </c>
      <c r="M165" s="103">
        <f t="shared" si="29"/>
        <v>62.168606776618901</v>
      </c>
      <c r="N165" s="103">
        <f t="shared" si="30"/>
        <v>12.168606776618901</v>
      </c>
      <c r="O165" s="117">
        <f t="shared" si="37"/>
        <v>0</v>
      </c>
    </row>
    <row r="166" spans="1:15">
      <c r="A166" s="64">
        <v>153</v>
      </c>
      <c r="B166" s="159">
        <f t="shared" si="26"/>
        <v>20000</v>
      </c>
      <c r="C166" s="103">
        <f t="shared" si="27"/>
        <v>7194.1779444418371</v>
      </c>
      <c r="D166" s="103">
        <v>0</v>
      </c>
      <c r="E166" s="103">
        <f t="shared" si="31"/>
        <v>69.929289243286789</v>
      </c>
      <c r="F166" s="103">
        <f t="shared" si="32"/>
        <v>23.417298168518787</v>
      </c>
      <c r="G166" s="144">
        <f t="shared" si="33"/>
        <v>22</v>
      </c>
      <c r="H166" s="103">
        <v>0</v>
      </c>
      <c r="I166" s="156">
        <f t="shared" si="28"/>
        <v>50</v>
      </c>
      <c r="J166" s="103">
        <f t="shared" si="34"/>
        <v>23.417298168518787</v>
      </c>
      <c r="K166" s="103">
        <f t="shared" si="35"/>
        <v>-1.4172981685187871</v>
      </c>
      <c r="L166" s="103">
        <f t="shared" si="36"/>
        <v>12.026876959767025</v>
      </c>
      <c r="M166" s="103">
        <f t="shared" si="29"/>
        <v>62.026876959767023</v>
      </c>
      <c r="N166" s="103">
        <f t="shared" si="30"/>
        <v>12.026876959767023</v>
      </c>
      <c r="O166" s="117">
        <f t="shared" si="37"/>
        <v>0</v>
      </c>
    </row>
    <row r="167" spans="1:15">
      <c r="A167" s="64">
        <v>154</v>
      </c>
      <c r="B167" s="159">
        <f t="shared" si="26"/>
        <v>20000</v>
      </c>
      <c r="C167" s="103">
        <f t="shared" si="27"/>
        <v>7120.4860073146665</v>
      </c>
      <c r="D167" s="103">
        <v>0</v>
      </c>
      <c r="E167" s="103">
        <f t="shared" si="31"/>
        <v>70.174916334913945</v>
      </c>
      <c r="F167" s="103">
        <f t="shared" si="32"/>
        <v>23.540826116341712</v>
      </c>
      <c r="G167" s="144">
        <f t="shared" si="33"/>
        <v>22</v>
      </c>
      <c r="H167" s="103">
        <v>0</v>
      </c>
      <c r="I167" s="156">
        <f t="shared" si="28"/>
        <v>50</v>
      </c>
      <c r="J167" s="103">
        <f t="shared" si="34"/>
        <v>23.540826116341712</v>
      </c>
      <c r="K167" s="103">
        <f t="shared" si="35"/>
        <v>-1.5408261163417123</v>
      </c>
      <c r="L167" s="103">
        <f t="shared" si="36"/>
        <v>11.872794348132853</v>
      </c>
      <c r="M167" s="103">
        <f t="shared" si="29"/>
        <v>61.872794348132857</v>
      </c>
      <c r="N167" s="103">
        <f t="shared" si="30"/>
        <v>11.872794348132857</v>
      </c>
      <c r="O167" s="117">
        <f t="shared" si="37"/>
        <v>0</v>
      </c>
    </row>
    <row r="168" spans="1:15">
      <c r="A168" s="64">
        <v>155</v>
      </c>
      <c r="B168" s="159">
        <f t="shared" si="26"/>
        <v>20000</v>
      </c>
      <c r="C168" s="103">
        <f t="shared" si="27"/>
        <v>7052.5456360120588</v>
      </c>
      <c r="D168" s="103">
        <v>0</v>
      </c>
      <c r="E168" s="103">
        <f t="shared" si="31"/>
        <v>70.414552521867265</v>
      </c>
      <c r="F168" s="103">
        <f t="shared" si="32"/>
        <v>23.654712858480895</v>
      </c>
      <c r="G168" s="144">
        <f t="shared" si="33"/>
        <v>22</v>
      </c>
      <c r="H168" s="103">
        <v>0</v>
      </c>
      <c r="I168" s="156">
        <f t="shared" si="28"/>
        <v>50</v>
      </c>
      <c r="J168" s="103">
        <f t="shared" si="34"/>
        <v>23.654712858480895</v>
      </c>
      <c r="K168" s="103">
        <f t="shared" si="35"/>
        <v>-1.6547128584808952</v>
      </c>
      <c r="L168" s="103">
        <f t="shared" si="36"/>
        <v>11.707323062284763</v>
      </c>
      <c r="M168" s="103">
        <f t="shared" si="29"/>
        <v>61.707323062284765</v>
      </c>
      <c r="N168" s="103">
        <f t="shared" si="30"/>
        <v>11.707323062284765</v>
      </c>
      <c r="O168" s="117">
        <f t="shared" si="37"/>
        <v>0</v>
      </c>
    </row>
    <row r="169" spans="1:15">
      <c r="A169" s="64">
        <v>156</v>
      </c>
      <c r="B169" s="159">
        <f t="shared" si="26"/>
        <v>20000</v>
      </c>
      <c r="C169" s="103">
        <f t="shared" si="27"/>
        <v>6989.9079278355075</v>
      </c>
      <c r="D169" s="103">
        <v>0</v>
      </c>
      <c r="E169" s="103">
        <f t="shared" si="31"/>
        <v>70.648343923772941</v>
      </c>
      <c r="F169" s="103">
        <f t="shared" si="32"/>
        <v>23.759710879282387</v>
      </c>
      <c r="G169" s="144">
        <f t="shared" si="33"/>
        <v>22</v>
      </c>
      <c r="H169" s="103">
        <v>0</v>
      </c>
      <c r="I169" s="156">
        <f t="shared" si="28"/>
        <v>50</v>
      </c>
      <c r="J169" s="103">
        <f t="shared" si="34"/>
        <v>23.759710879282387</v>
      </c>
      <c r="K169" s="103">
        <f t="shared" si="35"/>
        <v>-1.7597108792823875</v>
      </c>
      <c r="L169" s="103">
        <f t="shared" si="36"/>
        <v>11.531351974356523</v>
      </c>
      <c r="M169" s="103">
        <f t="shared" si="29"/>
        <v>61.531351974356525</v>
      </c>
      <c r="N169" s="103">
        <f t="shared" si="30"/>
        <v>11.531351974356525</v>
      </c>
      <c r="O169" s="117">
        <f t="shared" si="37"/>
        <v>0</v>
      </c>
    </row>
    <row r="170" spans="1:15">
      <c r="A170" s="64">
        <v>157</v>
      </c>
      <c r="B170" s="159">
        <f t="shared" si="26"/>
        <v>20000</v>
      </c>
      <c r="C170" s="103">
        <f t="shared" si="27"/>
        <v>6932.1590163946876</v>
      </c>
      <c r="D170" s="103">
        <v>0</v>
      </c>
      <c r="E170" s="103">
        <f t="shared" si="31"/>
        <v>70.876433096363854</v>
      </c>
      <c r="F170" s="103">
        <f t="shared" si="32"/>
        <v>23.856513932606692</v>
      </c>
      <c r="G170" s="144">
        <f t="shared" si="33"/>
        <v>22</v>
      </c>
      <c r="H170" s="103">
        <v>0</v>
      </c>
      <c r="I170" s="156">
        <f t="shared" si="28"/>
        <v>50</v>
      </c>
      <c r="J170" s="103">
        <f t="shared" si="34"/>
        <v>23.856513932606692</v>
      </c>
      <c r="K170" s="103">
        <f t="shared" si="35"/>
        <v>-1.856513932606692</v>
      </c>
      <c r="L170" s="103">
        <f t="shared" si="36"/>
        <v>11.345700581095855</v>
      </c>
      <c r="M170" s="103">
        <f t="shared" si="29"/>
        <v>61.345700581095855</v>
      </c>
      <c r="N170" s="103">
        <f t="shared" si="30"/>
        <v>11.345700581095855</v>
      </c>
      <c r="O170" s="117">
        <f t="shared" si="37"/>
        <v>0</v>
      </c>
    </row>
    <row r="171" spans="1:15">
      <c r="A171" s="64">
        <v>158</v>
      </c>
      <c r="B171" s="159">
        <f t="shared" si="26"/>
        <v>20000</v>
      </c>
      <c r="C171" s="103">
        <f t="shared" si="27"/>
        <v>6878.9173370663193</v>
      </c>
      <c r="D171" s="103">
        <v>0</v>
      </c>
      <c r="E171" s="103">
        <f t="shared" si="31"/>
        <v>71.098959118403769</v>
      </c>
      <c r="F171" s="103">
        <f t="shared" si="32"/>
        <v>23.945761625671537</v>
      </c>
      <c r="G171" s="144">
        <f t="shared" si="33"/>
        <v>22</v>
      </c>
      <c r="H171" s="103">
        <v>0</v>
      </c>
      <c r="I171" s="156">
        <f t="shared" si="28"/>
        <v>50</v>
      </c>
      <c r="J171" s="103">
        <f t="shared" si="34"/>
        <v>23.945761625671537</v>
      </c>
      <c r="K171" s="103">
        <f t="shared" si="35"/>
        <v>-1.9457616256715369</v>
      </c>
      <c r="L171" s="103">
        <f t="shared" si="36"/>
        <v>11.151124418528701</v>
      </c>
      <c r="M171" s="103">
        <f t="shared" si="29"/>
        <v>61.151124418528703</v>
      </c>
      <c r="N171" s="103">
        <f t="shared" si="30"/>
        <v>11.151124418528703</v>
      </c>
      <c r="O171" s="117">
        <f t="shared" si="37"/>
        <v>0</v>
      </c>
    </row>
    <row r="172" spans="1:15">
      <c r="A172" s="64">
        <v>159</v>
      </c>
      <c r="B172" s="159">
        <f t="shared" si="26"/>
        <v>20000</v>
      </c>
      <c r="C172" s="103">
        <f t="shared" si="27"/>
        <v>6829.8311058806539</v>
      </c>
      <c r="D172" s="103">
        <v>0</v>
      </c>
      <c r="E172" s="103">
        <f t="shared" si="31"/>
        <v>71.316057676491482</v>
      </c>
      <c r="F172" s="103">
        <f t="shared" si="32"/>
        <v>24.028043645131323</v>
      </c>
      <c r="G172" s="144">
        <f t="shared" si="33"/>
        <v>22</v>
      </c>
      <c r="H172" s="103">
        <v>0</v>
      </c>
      <c r="I172" s="156">
        <f t="shared" si="28"/>
        <v>50</v>
      </c>
      <c r="J172" s="103">
        <f t="shared" si="34"/>
        <v>24.028043645131323</v>
      </c>
      <c r="K172" s="103">
        <f t="shared" si="35"/>
        <v>-2.0280436451313228</v>
      </c>
      <c r="L172" s="103">
        <f t="shared" si="36"/>
        <v>10.948320054015568</v>
      </c>
      <c r="M172" s="103">
        <f t="shared" si="29"/>
        <v>60.948320054015568</v>
      </c>
      <c r="N172" s="103">
        <f t="shared" si="30"/>
        <v>10.948320054015568</v>
      </c>
      <c r="O172" s="117">
        <f t="shared" si="37"/>
        <v>0</v>
      </c>
    </row>
    <row r="173" spans="1:15">
      <c r="A173" s="64">
        <v>160</v>
      </c>
      <c r="B173" s="159">
        <f t="shared" si="26"/>
        <v>20000</v>
      </c>
      <c r="C173" s="103">
        <f t="shared" si="27"/>
        <v>6784.5759951777727</v>
      </c>
      <c r="D173" s="103">
        <v>0</v>
      </c>
      <c r="E173" s="103">
        <f t="shared" si="31"/>
        <v>71.527861147796571</v>
      </c>
      <c r="F173" s="103">
        <f t="shared" si="32"/>
        <v>24.103903653316198</v>
      </c>
      <c r="G173" s="144">
        <f t="shared" si="33"/>
        <v>22</v>
      </c>
      <c r="H173" s="103">
        <v>0</v>
      </c>
      <c r="I173" s="156">
        <f t="shared" si="28"/>
        <v>50</v>
      </c>
      <c r="J173" s="103">
        <f t="shared" si="34"/>
        <v>24.103903653316198</v>
      </c>
      <c r="K173" s="103">
        <f t="shared" si="35"/>
        <v>-2.1039036533161983</v>
      </c>
      <c r="L173" s="103">
        <f t="shared" si="36"/>
        <v>10.737929688683948</v>
      </c>
      <c r="M173" s="103">
        <f t="shared" si="29"/>
        <v>60.737929688683948</v>
      </c>
      <c r="N173" s="103">
        <f t="shared" si="30"/>
        <v>10.737929688683948</v>
      </c>
      <c r="O173" s="117">
        <f t="shared" si="37"/>
        <v>0</v>
      </c>
    </row>
    <row r="174" spans="1:15">
      <c r="A174" s="64">
        <v>161</v>
      </c>
      <c r="B174" s="159">
        <f t="shared" si="26"/>
        <v>20000</v>
      </c>
      <c r="C174" s="103">
        <f t="shared" si="27"/>
        <v>6742.8529906760905</v>
      </c>
      <c r="D174" s="103">
        <v>0</v>
      </c>
      <c r="E174" s="103">
        <f t="shared" si="31"/>
        <v>71.734498680777151</v>
      </c>
      <c r="F174" s="103">
        <f t="shared" si="32"/>
        <v>24.173842880374448</v>
      </c>
      <c r="G174" s="144">
        <f t="shared" si="33"/>
        <v>22</v>
      </c>
      <c r="H174" s="103">
        <v>0</v>
      </c>
      <c r="I174" s="156">
        <f t="shared" si="28"/>
        <v>50</v>
      </c>
      <c r="J174" s="103">
        <f t="shared" si="34"/>
        <v>24.173842880374448</v>
      </c>
      <c r="K174" s="103">
        <f t="shared" si="35"/>
        <v>-2.1738428803744476</v>
      </c>
      <c r="L174" s="103">
        <f t="shared" si="36"/>
        <v>10.520545400646503</v>
      </c>
      <c r="M174" s="103">
        <f t="shared" si="29"/>
        <v>60.520545400646505</v>
      </c>
      <c r="N174" s="103">
        <f t="shared" si="30"/>
        <v>10.520545400646505</v>
      </c>
      <c r="O174" s="117">
        <f t="shared" si="37"/>
        <v>0</v>
      </c>
    </row>
    <row r="175" spans="1:15">
      <c r="A175" s="64">
        <v>162</v>
      </c>
      <c r="B175" s="159">
        <f t="shared" si="26"/>
        <v>20000</v>
      </c>
      <c r="C175" s="103">
        <f t="shared" si="27"/>
        <v>6704.3864157940534</v>
      </c>
      <c r="D175" s="103">
        <v>0</v>
      </c>
      <c r="E175" s="103">
        <f t="shared" si="31"/>
        <v>71.936096273928939</v>
      </c>
      <c r="F175" s="103">
        <f t="shared" si="32"/>
        <v>24.238323436052543</v>
      </c>
      <c r="G175" s="144">
        <f t="shared" si="33"/>
        <v>22</v>
      </c>
      <c r="H175" s="103">
        <v>0</v>
      </c>
      <c r="I175" s="156">
        <f t="shared" si="28"/>
        <v>50</v>
      </c>
      <c r="J175" s="103">
        <f t="shared" si="34"/>
        <v>24.238323436052543</v>
      </c>
      <c r="K175" s="103">
        <f t="shared" si="35"/>
        <v>-2.2383234360525428</v>
      </c>
      <c r="L175" s="103">
        <f t="shared" si="36"/>
        <v>10.296713057041249</v>
      </c>
      <c r="M175" s="103">
        <f t="shared" si="29"/>
        <v>60.296713057041245</v>
      </c>
      <c r="N175" s="103">
        <f t="shared" si="30"/>
        <v>10.296713057041245</v>
      </c>
      <c r="O175" s="117">
        <f t="shared" si="37"/>
        <v>0</v>
      </c>
    </row>
    <row r="176" spans="1:15">
      <c r="A176" s="64">
        <v>163</v>
      </c>
      <c r="B176" s="159">
        <f t="shared" si="26"/>
        <v>20000</v>
      </c>
      <c r="C176" s="103">
        <f t="shared" si="27"/>
        <v>6668.9221101711009</v>
      </c>
      <c r="D176" s="103">
        <v>0</v>
      </c>
      <c r="E176" s="103">
        <f t="shared" si="31"/>
        <v>72.132776852613603</v>
      </c>
      <c r="F176" s="103">
        <f t="shared" si="32"/>
        <v>24.297771362994787</v>
      </c>
      <c r="G176" s="144">
        <f t="shared" si="33"/>
        <v>22</v>
      </c>
      <c r="H176" s="103">
        <v>0</v>
      </c>
      <c r="I176" s="156">
        <f t="shared" si="28"/>
        <v>50</v>
      </c>
      <c r="J176" s="103">
        <f t="shared" si="34"/>
        <v>24.297771362994787</v>
      </c>
      <c r="K176" s="103">
        <f t="shared" si="35"/>
        <v>-2.2977713629947871</v>
      </c>
      <c r="L176" s="103">
        <f t="shared" si="36"/>
        <v>10.06693592074177</v>
      </c>
      <c r="M176" s="103">
        <f t="shared" si="29"/>
        <v>60.06693592074177</v>
      </c>
      <c r="N176" s="103">
        <f t="shared" si="30"/>
        <v>10.06693592074177</v>
      </c>
      <c r="O176" s="117">
        <f t="shared" si="37"/>
        <v>0</v>
      </c>
    </row>
    <row r="177" spans="1:15">
      <c r="A177" s="64">
        <v>164</v>
      </c>
      <c r="B177" s="159">
        <f t="shared" si="26"/>
        <v>20000</v>
      </c>
      <c r="C177" s="103">
        <f t="shared" si="27"/>
        <v>6636.2257503528672</v>
      </c>
      <c r="D177" s="103">
        <v>0</v>
      </c>
      <c r="E177" s="103">
        <f t="shared" si="31"/>
        <v>72.324660344013282</v>
      </c>
      <c r="F177" s="103">
        <f t="shared" si="32"/>
        <v>24.352579451736659</v>
      </c>
      <c r="G177" s="144">
        <f t="shared" si="33"/>
        <v>22</v>
      </c>
      <c r="H177" s="103">
        <v>0</v>
      </c>
      <c r="I177" s="156">
        <f t="shared" si="28"/>
        <v>50</v>
      </c>
      <c r="J177" s="103">
        <f t="shared" si="34"/>
        <v>24.352579451736659</v>
      </c>
      <c r="K177" s="103">
        <f t="shared" si="35"/>
        <v>-2.3525794517366592</v>
      </c>
      <c r="L177" s="103">
        <f t="shared" si="36"/>
        <v>9.8316779755681036</v>
      </c>
      <c r="M177" s="103">
        <f t="shared" si="29"/>
        <v>59.831677975568105</v>
      </c>
      <c r="N177" s="103">
        <f t="shared" si="30"/>
        <v>9.8316779755681054</v>
      </c>
      <c r="O177" s="117">
        <f t="shared" si="37"/>
        <v>0</v>
      </c>
    </row>
    <row r="178" spans="1:15">
      <c r="A178" s="64">
        <v>165</v>
      </c>
      <c r="B178" s="159">
        <f t="shared" si="26"/>
        <v>20000</v>
      </c>
      <c r="C178" s="103">
        <f t="shared" si="27"/>
        <v>6606.0813015448366</v>
      </c>
      <c r="D178" s="103">
        <v>0</v>
      </c>
      <c r="E178" s="103">
        <f t="shared" si="31"/>
        <v>72.511863750256865</v>
      </c>
      <c r="F178" s="103">
        <f t="shared" si="32"/>
        <v>24.403109835991359</v>
      </c>
      <c r="G178" s="144">
        <f t="shared" si="33"/>
        <v>22</v>
      </c>
      <c r="H178" s="103">
        <v>0</v>
      </c>
      <c r="I178" s="156">
        <f t="shared" si="28"/>
        <v>50</v>
      </c>
      <c r="J178" s="103">
        <f t="shared" si="34"/>
        <v>24.403109835991359</v>
      </c>
      <c r="K178" s="103">
        <f t="shared" si="35"/>
        <v>-2.4031098359913585</v>
      </c>
      <c r="L178" s="103">
        <f t="shared" si="36"/>
        <v>9.5913669919689681</v>
      </c>
      <c r="M178" s="103">
        <f t="shared" si="29"/>
        <v>59.591366991968968</v>
      </c>
      <c r="N178" s="103">
        <f t="shared" si="30"/>
        <v>9.5913669919689681</v>
      </c>
      <c r="O178" s="117">
        <f t="shared" si="37"/>
        <v>0</v>
      </c>
    </row>
    <row r="179" spans="1:15">
      <c r="A179" s="64">
        <v>166</v>
      </c>
      <c r="B179" s="159">
        <f t="shared" si="26"/>
        <v>20000</v>
      </c>
      <c r="C179" s="103">
        <f t="shared" si="27"/>
        <v>6578.289590204753</v>
      </c>
      <c r="D179" s="103">
        <v>0</v>
      </c>
      <c r="E179" s="103">
        <f t="shared" si="31"/>
        <v>72.694501219762799</v>
      </c>
      <c r="F179" s="103">
        <f t="shared" si="32"/>
        <v>24.449696385377401</v>
      </c>
      <c r="G179" s="144">
        <f t="shared" si="33"/>
        <v>22</v>
      </c>
      <c r="H179" s="103">
        <v>0</v>
      </c>
      <c r="I179" s="156">
        <f t="shared" si="28"/>
        <v>50</v>
      </c>
      <c r="J179" s="103">
        <f t="shared" si="34"/>
        <v>24.449696385377401</v>
      </c>
      <c r="K179" s="103">
        <f t="shared" si="35"/>
        <v>-2.4496963853774005</v>
      </c>
      <c r="L179" s="103">
        <f t="shared" si="36"/>
        <v>9.3463973534312288</v>
      </c>
      <c r="M179" s="103">
        <f t="shared" si="29"/>
        <v>59.346397353431229</v>
      </c>
      <c r="N179" s="103">
        <f t="shared" si="30"/>
        <v>9.3463973534312288</v>
      </c>
      <c r="O179" s="117">
        <f t="shared" si="37"/>
        <v>0</v>
      </c>
    </row>
    <row r="180" spans="1:15">
      <c r="A180" s="64">
        <v>167</v>
      </c>
      <c r="B180" s="159">
        <f t="shared" si="26"/>
        <v>20000</v>
      </c>
      <c r="C180" s="103">
        <f t="shared" si="27"/>
        <v>6552.6669880424306</v>
      </c>
      <c r="D180" s="103">
        <v>0</v>
      </c>
      <c r="E180" s="103">
        <f t="shared" si="31"/>
        <v>72.872684116841768</v>
      </c>
      <c r="F180" s="103">
        <f t="shared" si="32"/>
        <v>24.492646911396729</v>
      </c>
      <c r="G180" s="144">
        <f t="shared" si="33"/>
        <v>22</v>
      </c>
      <c r="H180" s="103">
        <v>0</v>
      </c>
      <c r="I180" s="156">
        <f t="shared" si="28"/>
        <v>50</v>
      </c>
      <c r="J180" s="103">
        <f t="shared" si="34"/>
        <v>24.492646911396729</v>
      </c>
      <c r="K180" s="103">
        <f t="shared" si="35"/>
        <v>-2.4926469113967293</v>
      </c>
      <c r="L180" s="103">
        <f t="shared" si="36"/>
        <v>9.0971326622915551</v>
      </c>
      <c r="M180" s="103">
        <f t="shared" si="29"/>
        <v>59.097132662291557</v>
      </c>
      <c r="N180" s="103">
        <f t="shared" si="30"/>
        <v>9.0971326622915569</v>
      </c>
      <c r="O180" s="117">
        <f t="shared" si="37"/>
        <v>0</v>
      </c>
    </row>
    <row r="181" spans="1:15">
      <c r="A181" s="64">
        <v>168</v>
      </c>
      <c r="B181" s="159">
        <f t="shared" si="26"/>
        <v>20000</v>
      </c>
      <c r="C181" s="103">
        <f t="shared" si="27"/>
        <v>6529.044198731799</v>
      </c>
      <c r="D181" s="103">
        <v>0</v>
      </c>
      <c r="E181" s="103">
        <f t="shared" si="31"/>
        <v>73.046521089601725</v>
      </c>
      <c r="F181" s="103">
        <f t="shared" si="32"/>
        <v>24.53224520123894</v>
      </c>
      <c r="G181" s="144">
        <f t="shared" si="33"/>
        <v>22</v>
      </c>
      <c r="H181" s="103">
        <v>0</v>
      </c>
      <c r="I181" s="156">
        <f t="shared" si="28"/>
        <v>50</v>
      </c>
      <c r="J181" s="103">
        <f t="shared" si="34"/>
        <v>24.53224520123894</v>
      </c>
      <c r="K181" s="103">
        <f t="shared" si="35"/>
        <v>-2.5322452012389398</v>
      </c>
      <c r="L181" s="103">
        <f t="shared" si="36"/>
        <v>8.8439081421676615</v>
      </c>
      <c r="M181" s="103">
        <f t="shared" si="29"/>
        <v>58.843908142167663</v>
      </c>
      <c r="N181" s="103">
        <f t="shared" si="30"/>
        <v>8.8439081421676633</v>
      </c>
      <c r="O181" s="117">
        <f t="shared" si="37"/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1"/>
  <sheetViews>
    <sheetView workbookViewId="0">
      <selection activeCell="D13" sqref="D13"/>
    </sheetView>
  </sheetViews>
  <sheetFormatPr baseColWidth="10" defaultRowHeight="15" x14ac:dyDescent="0"/>
  <cols>
    <col min="3" max="3" width="11.1640625" bestFit="1" customWidth="1"/>
    <col min="6" max="7" width="12.1640625" bestFit="1" customWidth="1"/>
    <col min="10" max="10" width="10.83203125" style="64"/>
    <col min="13" max="13" width="13.1640625" customWidth="1"/>
  </cols>
  <sheetData>
    <row r="1" spans="1:25">
      <c r="A1" t="s">
        <v>181</v>
      </c>
      <c r="B1" s="145">
        <v>1500</v>
      </c>
      <c r="C1" t="s">
        <v>184</v>
      </c>
      <c r="D1" s="2" t="s">
        <v>194</v>
      </c>
      <c r="E1" s="66">
        <v>0</v>
      </c>
      <c r="F1" s="66">
        <v>1</v>
      </c>
      <c r="G1" s="66">
        <v>0</v>
      </c>
      <c r="H1" s="66">
        <v>0</v>
      </c>
      <c r="I1" s="3" t="s">
        <v>190</v>
      </c>
      <c r="J1" s="66" t="s">
        <v>197</v>
      </c>
      <c r="K1" s="66">
        <v>0</v>
      </c>
      <c r="L1" s="4" t="s">
        <v>198</v>
      </c>
      <c r="N1" t="s">
        <v>188</v>
      </c>
      <c r="O1" t="s">
        <v>200</v>
      </c>
      <c r="P1" t="s">
        <v>108</v>
      </c>
      <c r="U1" s="2" t="s">
        <v>291</v>
      </c>
      <c r="V1" s="3"/>
      <c r="W1" s="4"/>
    </row>
    <row r="2" spans="1:25">
      <c r="A2" t="s">
        <v>182</v>
      </c>
      <c r="B2" s="145">
        <v>1000</v>
      </c>
      <c r="C2" t="s">
        <v>184</v>
      </c>
      <c r="D2" s="5" t="s">
        <v>195</v>
      </c>
      <c r="E2" s="69">
        <v>0</v>
      </c>
      <c r="F2" s="69">
        <v>0</v>
      </c>
      <c r="G2" s="69">
        <f>B4*B1/B2</f>
        <v>15</v>
      </c>
      <c r="H2" s="69">
        <v>0</v>
      </c>
      <c r="I2" s="6" t="s">
        <v>191</v>
      </c>
      <c r="J2" s="69" t="s">
        <v>197</v>
      </c>
      <c r="K2" s="69">
        <f>1/B2</f>
        <v>1E-3</v>
      </c>
      <c r="L2" s="7" t="s">
        <v>198</v>
      </c>
      <c r="N2" t="s">
        <v>189</v>
      </c>
      <c r="O2" t="s">
        <v>201</v>
      </c>
      <c r="P2" t="s">
        <v>217</v>
      </c>
      <c r="U2" s="164" t="s">
        <v>138</v>
      </c>
      <c r="V2" s="166">
        <v>-6450</v>
      </c>
      <c r="W2" s="7" t="s">
        <v>304</v>
      </c>
      <c r="Y2" s="166">
        <v>-6450</v>
      </c>
    </row>
    <row r="3" spans="1:25">
      <c r="A3" t="s">
        <v>183</v>
      </c>
      <c r="B3" s="145">
        <v>8</v>
      </c>
      <c r="C3" t="s">
        <v>185</v>
      </c>
      <c r="D3" s="5" t="s">
        <v>196</v>
      </c>
      <c r="E3" s="69">
        <v>0</v>
      </c>
      <c r="F3" s="69">
        <v>0</v>
      </c>
      <c r="G3" s="69">
        <v>0</v>
      </c>
      <c r="H3" s="69">
        <v>1</v>
      </c>
      <c r="I3" s="6" t="s">
        <v>192</v>
      </c>
      <c r="J3" s="69" t="s">
        <v>197</v>
      </c>
      <c r="K3" s="69">
        <v>0</v>
      </c>
      <c r="L3" s="7" t="s">
        <v>198</v>
      </c>
      <c r="N3" t="s">
        <v>202</v>
      </c>
      <c r="O3" t="s">
        <v>203</v>
      </c>
      <c r="P3" t="s">
        <v>223</v>
      </c>
      <c r="U3" s="164" t="s">
        <v>139</v>
      </c>
      <c r="V3" s="166">
        <v>-15450</v>
      </c>
      <c r="W3" s="7" t="s">
        <v>292</v>
      </c>
      <c r="Y3" s="166">
        <v>-15450</v>
      </c>
    </row>
    <row r="4" spans="1:25">
      <c r="A4" t="s">
        <v>186</v>
      </c>
      <c r="B4">
        <v>10</v>
      </c>
      <c r="C4" t="s">
        <v>187</v>
      </c>
      <c r="D4" s="5" t="s">
        <v>206</v>
      </c>
      <c r="E4" s="69">
        <v>0</v>
      </c>
      <c r="F4" s="69">
        <v>0</v>
      </c>
      <c r="G4" s="69">
        <f>(B4/B3)*(1+B1/B2)</f>
        <v>3.125</v>
      </c>
      <c r="H4" s="69">
        <v>0</v>
      </c>
      <c r="I4" s="6" t="s">
        <v>193</v>
      </c>
      <c r="J4" s="69" t="s">
        <v>197</v>
      </c>
      <c r="K4" s="69">
        <f>1/(B3*B2)</f>
        <v>1.25E-4</v>
      </c>
      <c r="L4" s="7" t="s">
        <v>198</v>
      </c>
      <c r="N4" t="s">
        <v>204</v>
      </c>
      <c r="O4" t="s">
        <v>205</v>
      </c>
      <c r="P4" t="s">
        <v>211</v>
      </c>
      <c r="U4" s="164" t="s">
        <v>318</v>
      </c>
      <c r="V4" s="166">
        <v>214530</v>
      </c>
      <c r="W4" s="7" t="s">
        <v>320</v>
      </c>
      <c r="Y4" s="166">
        <v>214530</v>
      </c>
    </row>
    <row r="5" spans="1:25" ht="16" thickBot="1">
      <c r="A5" t="s">
        <v>210</v>
      </c>
      <c r="B5" s="145">
        <v>0.1</v>
      </c>
      <c r="C5" t="s">
        <v>34</v>
      </c>
      <c r="D5" s="5"/>
      <c r="E5" s="69"/>
      <c r="F5" s="69"/>
      <c r="G5" s="69"/>
      <c r="H5" s="69"/>
      <c r="I5" s="6"/>
      <c r="J5" s="69"/>
      <c r="K5" s="6"/>
      <c r="L5" s="7"/>
      <c r="P5" t="s">
        <v>224</v>
      </c>
      <c r="U5" s="165" t="s">
        <v>319</v>
      </c>
      <c r="V5" s="167">
        <v>178000</v>
      </c>
      <c r="W5" s="11" t="s">
        <v>321</v>
      </c>
      <c r="Y5" s="167">
        <v>178000</v>
      </c>
    </row>
    <row r="6" spans="1:25">
      <c r="D6" s="5" t="s">
        <v>199</v>
      </c>
      <c r="E6" s="69">
        <v>0</v>
      </c>
      <c r="F6" s="69">
        <v>0</v>
      </c>
      <c r="G6" s="69">
        <v>1</v>
      </c>
      <c r="H6" s="69">
        <v>0</v>
      </c>
      <c r="I6" s="6" t="s">
        <v>190</v>
      </c>
      <c r="J6" s="69"/>
      <c r="K6" s="150" t="s">
        <v>219</v>
      </c>
      <c r="L6" s="152"/>
      <c r="M6" s="64" t="s">
        <v>213</v>
      </c>
      <c r="N6" s="64">
        <f>G4*B5</f>
        <v>0.3125</v>
      </c>
      <c r="V6" s="168"/>
    </row>
    <row r="7" spans="1:25">
      <c r="A7" t="s">
        <v>231</v>
      </c>
      <c r="B7" s="145">
        <v>0</v>
      </c>
      <c r="C7" t="s">
        <v>218</v>
      </c>
      <c r="D7" s="5"/>
      <c r="E7" s="6"/>
      <c r="F7" s="6"/>
      <c r="G7" s="6"/>
      <c r="H7" s="6"/>
      <c r="I7" s="6" t="s">
        <v>191</v>
      </c>
      <c r="J7" s="69"/>
      <c r="K7" s="151" t="s">
        <v>220</v>
      </c>
      <c r="L7" s="108"/>
      <c r="M7" s="64" t="s">
        <v>216</v>
      </c>
      <c r="N7" s="64">
        <f>N6*B5</f>
        <v>3.125E-2</v>
      </c>
      <c r="P7" t="s">
        <v>326</v>
      </c>
      <c r="V7" s="6"/>
    </row>
    <row r="8" spans="1:25">
      <c r="A8" t="s">
        <v>229</v>
      </c>
      <c r="B8" s="57">
        <f>SQRT(B4/B3)</f>
        <v>1.1180339887498949</v>
      </c>
      <c r="C8" t="s">
        <v>230</v>
      </c>
      <c r="D8" s="5"/>
      <c r="E8" s="6"/>
      <c r="F8" s="6"/>
      <c r="G8" s="6"/>
      <c r="H8" s="6"/>
      <c r="I8" s="6" t="s">
        <v>192</v>
      </c>
      <c r="J8" s="69"/>
      <c r="K8" s="151" t="s">
        <v>221</v>
      </c>
      <c r="L8" s="108"/>
      <c r="M8" t="s">
        <v>215</v>
      </c>
      <c r="N8" s="147">
        <f>1/(1-N7)</f>
        <v>1.032258064516129</v>
      </c>
      <c r="V8" s="6"/>
    </row>
    <row r="9" spans="1:25" ht="16" thickBot="1">
      <c r="A9" t="s">
        <v>232</v>
      </c>
      <c r="B9" s="145">
        <v>0.2</v>
      </c>
      <c r="C9" t="s">
        <v>230</v>
      </c>
      <c r="D9" s="8"/>
      <c r="E9" s="9"/>
      <c r="F9" s="9"/>
      <c r="G9" s="9"/>
      <c r="H9" s="9"/>
      <c r="I9" s="9" t="s">
        <v>193</v>
      </c>
      <c r="J9" s="80"/>
      <c r="K9" s="153" t="s">
        <v>222</v>
      </c>
      <c r="L9" s="110"/>
    </row>
    <row r="11" spans="1:25">
      <c r="A11" t="s">
        <v>17</v>
      </c>
      <c r="B11" s="64" t="s">
        <v>226</v>
      </c>
      <c r="C11" s="64" t="s">
        <v>207</v>
      </c>
      <c r="D11" s="64" t="s">
        <v>208</v>
      </c>
      <c r="E11" s="69" t="s">
        <v>209</v>
      </c>
      <c r="F11" s="146" t="s">
        <v>328</v>
      </c>
      <c r="G11" s="146" t="s">
        <v>327</v>
      </c>
      <c r="H11" s="146" t="s">
        <v>225</v>
      </c>
      <c r="I11" s="146" t="s">
        <v>322</v>
      </c>
      <c r="J11" s="146" t="s">
        <v>323</v>
      </c>
      <c r="K11" s="146" t="s">
        <v>324</v>
      </c>
      <c r="L11" s="146" t="s">
        <v>325</v>
      </c>
    </row>
    <row r="12" spans="1:25">
      <c r="A12" s="148">
        <v>-1</v>
      </c>
      <c r="B12" s="148"/>
      <c r="C12" s="148">
        <v>0</v>
      </c>
      <c r="D12" s="149">
        <v>0.1</v>
      </c>
      <c r="E12" s="149">
        <v>0</v>
      </c>
      <c r="F12" s="149">
        <v>0</v>
      </c>
      <c r="G12" s="145" t="s">
        <v>214</v>
      </c>
      <c r="H12" s="103">
        <f>D12*360/(2*PI())</f>
        <v>5.7295779513082321</v>
      </c>
      <c r="I12" s="103">
        <f>C12*$V$5</f>
        <v>0</v>
      </c>
      <c r="J12" s="103">
        <f>D12*$V$4</f>
        <v>21453</v>
      </c>
      <c r="K12" s="103">
        <f>E12*$V$3</f>
        <v>0</v>
      </c>
      <c r="L12" s="103">
        <f>F12*$V$2</f>
        <v>0</v>
      </c>
    </row>
    <row r="13" spans="1:25">
      <c r="A13">
        <v>0</v>
      </c>
      <c r="B13" s="118">
        <f>-(I12+J12+K12+L12)</f>
        <v>-21453</v>
      </c>
      <c r="C13" s="118">
        <f>$N$8*($G$4*$B$5*D12+C12+$K$4*$B$5*B13)</f>
        <v>-0.24455483870967745</v>
      </c>
      <c r="D13" s="74">
        <f>$B$5*C13+D12</f>
        <v>7.5544516129032263E-2</v>
      </c>
      <c r="E13" s="74">
        <f>E12+$B$5*$G$2*D13+$B$5*$K$2*B13</f>
        <v>-2.0319832258064516</v>
      </c>
      <c r="F13" s="118">
        <f>$B$5*E13+F12</f>
        <v>-0.20319832258064519</v>
      </c>
      <c r="G13" s="118">
        <f>$E$6*F13+$G$6*D13</f>
        <v>7.5544516129032263E-2</v>
      </c>
      <c r="H13" s="103">
        <f t="shared" ref="H13:H76" si="0">D13*360/(2*PI())</f>
        <v>4.3283819395515239</v>
      </c>
      <c r="I13" s="103">
        <f>C13*$V$5</f>
        <v>-43530.761290322589</v>
      </c>
      <c r="J13" s="103">
        <f>D13*$V$4</f>
        <v>16206.565045161291</v>
      </c>
      <c r="K13" s="103">
        <f>E13*$V$3</f>
        <v>31394.140838709678</v>
      </c>
      <c r="L13" s="103">
        <f>F13*$V$2</f>
        <v>1310.6291806451613</v>
      </c>
    </row>
    <row r="14" spans="1:25">
      <c r="A14">
        <v>1</v>
      </c>
      <c r="B14" s="118">
        <f t="shared" ref="B14:B77" si="1">-(I13+J13+K13+L13)</f>
        <v>-5380.5737741935391</v>
      </c>
      <c r="C14" s="118">
        <f t="shared" ref="C14:C77" si="2">$N$8*($G$4*$B$5*D13+C13+$K$4*$B$5*B14)</f>
        <v>-0.29750126409989586</v>
      </c>
      <c r="D14" s="74">
        <f t="shared" ref="D14:D77" si="3">$B$5*C14+D13</f>
        <v>4.5794389719042677E-2</v>
      </c>
      <c r="E14" s="74">
        <f t="shared" ref="E14:E77" si="4">E13+$B$5*$G$2*D14+$B$5*$K$2*B14</f>
        <v>-2.5013490186472414</v>
      </c>
      <c r="F14" s="118">
        <f t="shared" ref="F14:F77" si="5">$B$5*E14+F13</f>
        <v>-0.45333322444536933</v>
      </c>
      <c r="G14" s="118">
        <f t="shared" ref="G14:G77" si="6">$E$6*F14+$G$6*D14</f>
        <v>4.5794389719042677E-2</v>
      </c>
      <c r="H14" s="103">
        <f t="shared" si="0"/>
        <v>2.6238252562784332</v>
      </c>
      <c r="I14" s="103">
        <f t="shared" ref="I14:I76" si="7">C14*$V$5</f>
        <v>-52955.225009781461</v>
      </c>
      <c r="J14" s="103">
        <f t="shared" ref="J14:J76" si="8">D14*$V$4</f>
        <v>9824.2704264262247</v>
      </c>
      <c r="K14" s="103">
        <f t="shared" ref="K14:K76" si="9">E14*$V$3</f>
        <v>38645.842338099879</v>
      </c>
      <c r="L14" s="103">
        <f t="shared" ref="L14:L76" si="10">F14*$V$2</f>
        <v>2923.9992976726321</v>
      </c>
    </row>
    <row r="15" spans="1:25">
      <c r="A15">
        <v>2</v>
      </c>
      <c r="B15" s="118">
        <f t="shared" si="1"/>
        <v>1561.1129475827288</v>
      </c>
      <c r="C15" s="118">
        <f t="shared" si="2"/>
        <v>-0.27218230241848868</v>
      </c>
      <c r="D15" s="74">
        <f t="shared" si="3"/>
        <v>1.8576159477193807E-2</v>
      </c>
      <c r="E15" s="74">
        <f t="shared" si="4"/>
        <v>-2.3173734846731775</v>
      </c>
      <c r="F15" s="118">
        <f t="shared" si="5"/>
        <v>-0.68507057291268714</v>
      </c>
      <c r="G15" s="118">
        <f t="shared" si="6"/>
        <v>1.8576159477193807E-2</v>
      </c>
      <c r="H15" s="103">
        <f t="shared" si="0"/>
        <v>1.0643355376051509</v>
      </c>
      <c r="I15" s="103">
        <f t="shared" si="7"/>
        <v>-48448.449830490987</v>
      </c>
      <c r="J15" s="103">
        <f t="shared" si="8"/>
        <v>3985.1434926423876</v>
      </c>
      <c r="K15" s="103">
        <f t="shared" si="9"/>
        <v>35803.420338200594</v>
      </c>
      <c r="L15" s="103">
        <f t="shared" si="10"/>
        <v>4418.7051952868323</v>
      </c>
    </row>
    <row r="16" spans="1:25">
      <c r="A16">
        <v>3</v>
      </c>
      <c r="B16" s="118">
        <f t="shared" si="1"/>
        <v>4241.18080436117</v>
      </c>
      <c r="C16" s="118">
        <f t="shared" si="2"/>
        <v>-0.22024515357662036</v>
      </c>
      <c r="D16" s="74">
        <f t="shared" si="3"/>
        <v>-3.4483558804682297E-3</v>
      </c>
      <c r="E16" s="74">
        <f t="shared" si="4"/>
        <v>-1.8984279380577627</v>
      </c>
      <c r="F16" s="118">
        <f t="shared" si="5"/>
        <v>-0.87491336671846343</v>
      </c>
      <c r="G16" s="118">
        <f t="shared" si="6"/>
        <v>-3.4483558804682297E-3</v>
      </c>
      <c r="H16" s="103">
        <f t="shared" si="0"/>
        <v>-0.19757623820994855</v>
      </c>
      <c r="I16" s="103">
        <f t="shared" si="7"/>
        <v>-39203.637336638421</v>
      </c>
      <c r="J16" s="103">
        <f t="shared" si="8"/>
        <v>-739.77578703684935</v>
      </c>
      <c r="K16" s="103">
        <f t="shared" si="9"/>
        <v>29330.711642992432</v>
      </c>
      <c r="L16" s="103">
        <f t="shared" si="10"/>
        <v>5643.1912153340891</v>
      </c>
    </row>
    <row r="17" spans="1:12">
      <c r="A17">
        <v>4</v>
      </c>
      <c r="B17" s="118">
        <f t="shared" si="1"/>
        <v>4969.510265348752</v>
      </c>
      <c r="C17" s="118">
        <f t="shared" si="2"/>
        <v>-0.16433949571345269</v>
      </c>
      <c r="D17" s="74">
        <f t="shared" si="3"/>
        <v>-1.9882305451813499E-2</v>
      </c>
      <c r="E17" s="74">
        <f t="shared" si="4"/>
        <v>-1.4313003697006077</v>
      </c>
      <c r="F17" s="118">
        <f t="shared" si="5"/>
        <v>-1.0180434036885242</v>
      </c>
      <c r="G17" s="118">
        <f t="shared" si="6"/>
        <v>-1.9882305451813499E-2</v>
      </c>
      <c r="H17" s="103">
        <f t="shared" si="0"/>
        <v>-1.1391721893788609</v>
      </c>
      <c r="I17" s="103">
        <f t="shared" si="7"/>
        <v>-29252.43023699458</v>
      </c>
      <c r="J17" s="103">
        <f t="shared" si="8"/>
        <v>-4265.3509885775502</v>
      </c>
      <c r="K17" s="103">
        <f t="shared" si="9"/>
        <v>22113.590711874389</v>
      </c>
      <c r="L17" s="103">
        <f t="shared" si="10"/>
        <v>6566.3799537909808</v>
      </c>
    </row>
    <row r="18" spans="1:12">
      <c r="A18">
        <v>5</v>
      </c>
      <c r="B18" s="118">
        <f t="shared" si="1"/>
        <v>4837.8105599067594</v>
      </c>
      <c r="C18" s="118">
        <f t="shared" si="2"/>
        <v>-0.11363105462535217</v>
      </c>
      <c r="D18" s="74">
        <f t="shared" si="3"/>
        <v>-3.1245410914348716E-2</v>
      </c>
      <c r="E18" s="74">
        <f t="shared" si="4"/>
        <v>-0.9943874300814548</v>
      </c>
      <c r="F18" s="118">
        <f t="shared" si="5"/>
        <v>-1.1174821466966698</v>
      </c>
      <c r="G18" s="118">
        <f t="shared" si="6"/>
        <v>-3.1245410914348716E-2</v>
      </c>
      <c r="H18" s="103">
        <f t="shared" si="0"/>
        <v>-1.79023017454418</v>
      </c>
      <c r="I18" s="103">
        <f t="shared" si="7"/>
        <v>-20226.327723312686</v>
      </c>
      <c r="J18" s="103">
        <f t="shared" si="8"/>
        <v>-6703.0780034552299</v>
      </c>
      <c r="K18" s="103">
        <f t="shared" si="9"/>
        <v>15363.285794758476</v>
      </c>
      <c r="L18" s="103">
        <f t="shared" si="10"/>
        <v>7207.7598461935204</v>
      </c>
    </row>
    <row r="19" spans="1:12">
      <c r="A19">
        <v>6</v>
      </c>
      <c r="B19" s="118">
        <f t="shared" si="1"/>
        <v>4358.3600858159198</v>
      </c>
      <c r="C19" s="118">
        <f t="shared" si="2"/>
        <v>-7.1138832994464135E-2</v>
      </c>
      <c r="D19" s="74">
        <f t="shared" si="3"/>
        <v>-3.835929421379513E-2</v>
      </c>
      <c r="E19" s="74">
        <f>E18+$B$5*$G$2*D19+$B$5*$K$2*B19</f>
        <v>-0.6160903628205554</v>
      </c>
      <c r="F19" s="118">
        <f t="shared" si="5"/>
        <v>-1.1790911829787254</v>
      </c>
      <c r="G19" s="118">
        <f t="shared" si="6"/>
        <v>-3.835929421379513E-2</v>
      </c>
      <c r="H19" s="103">
        <f t="shared" si="0"/>
        <v>-2.1978256635510602</v>
      </c>
      <c r="I19" s="103">
        <f t="shared" si="7"/>
        <v>-12662.712273014617</v>
      </c>
      <c r="J19" s="103">
        <f t="shared" si="8"/>
        <v>-8229.219387685469</v>
      </c>
      <c r="K19" s="103">
        <f t="shared" si="9"/>
        <v>9518.5961055775806</v>
      </c>
      <c r="L19" s="103">
        <f t="shared" si="10"/>
        <v>7605.1381302127784</v>
      </c>
    </row>
    <row r="20" spans="1:12">
      <c r="A20">
        <v>7</v>
      </c>
      <c r="B20" s="118">
        <f t="shared" si="1"/>
        <v>3768.1974249097284</v>
      </c>
      <c r="C20" s="118">
        <f t="shared" si="2"/>
        <v>-3.7185697677319753E-2</v>
      </c>
      <c r="D20" s="74">
        <f t="shared" si="3"/>
        <v>-4.2077863981527103E-2</v>
      </c>
      <c r="E20" s="74">
        <f t="shared" si="4"/>
        <v>-0.30238741630187327</v>
      </c>
      <c r="F20" s="118">
        <f t="shared" si="5"/>
        <v>-1.2093299246089126</v>
      </c>
      <c r="G20" s="118">
        <f t="shared" si="6"/>
        <v>-4.2077863981527103E-2</v>
      </c>
      <c r="H20" s="103">
        <f t="shared" si="0"/>
        <v>-2.4108840170670449</v>
      </c>
      <c r="I20" s="103">
        <f t="shared" si="7"/>
        <v>-6619.0541865629157</v>
      </c>
      <c r="J20" s="103">
        <f t="shared" si="8"/>
        <v>-9026.9641599570095</v>
      </c>
      <c r="K20" s="103">
        <f t="shared" si="9"/>
        <v>4671.8855818639422</v>
      </c>
      <c r="L20" s="103">
        <f t="shared" si="10"/>
        <v>7800.1780137274864</v>
      </c>
    </row>
    <row r="21" spans="1:12">
      <c r="A21">
        <v>8</v>
      </c>
      <c r="B21" s="118">
        <f t="shared" si="1"/>
        <v>3173.9547509284976</v>
      </c>
      <c r="C21" s="118">
        <f t="shared" si="2"/>
        <v>-1.1004485971551745E-2</v>
      </c>
      <c r="D21" s="74">
        <f t="shared" si="3"/>
        <v>-4.3178312578682279E-2</v>
      </c>
      <c r="E21" s="74">
        <f t="shared" si="4"/>
        <v>-4.9759410077046928E-2</v>
      </c>
      <c r="F21" s="118">
        <f t="shared" si="5"/>
        <v>-1.2143058656166172</v>
      </c>
      <c r="G21" s="118">
        <f t="shared" si="6"/>
        <v>-4.3178312578682279E-2</v>
      </c>
      <c r="H21" s="103">
        <f t="shared" si="0"/>
        <v>-2.473935077255129</v>
      </c>
      <c r="I21" s="103">
        <f t="shared" si="7"/>
        <v>-1958.7985029362105</v>
      </c>
      <c r="J21" s="103">
        <f t="shared" si="8"/>
        <v>-9263.043397504709</v>
      </c>
      <c r="K21" s="103">
        <f t="shared" si="9"/>
        <v>768.782885690375</v>
      </c>
      <c r="L21" s="103">
        <f t="shared" si="10"/>
        <v>7832.2728332271809</v>
      </c>
    </row>
    <row r="22" spans="1:12">
      <c r="A22">
        <v>9</v>
      </c>
      <c r="B22" s="118">
        <f t="shared" si="1"/>
        <v>2620.7861815233637</v>
      </c>
      <c r="C22" s="118">
        <f t="shared" si="2"/>
        <v>8.52863857202797E-3</v>
      </c>
      <c r="D22" s="74">
        <f t="shared" si="3"/>
        <v>-4.2325448721479482E-2</v>
      </c>
      <c r="E22" s="74">
        <f t="shared" si="4"/>
        <v>0.14883103499307027</v>
      </c>
      <c r="F22" s="118">
        <f t="shared" si="5"/>
        <v>-1.1994227621173101</v>
      </c>
      <c r="G22" s="118">
        <f t="shared" si="6"/>
        <v>-4.2325448721479482E-2</v>
      </c>
      <c r="H22" s="103">
        <f t="shared" si="0"/>
        <v>-2.4250695777381606</v>
      </c>
      <c r="I22" s="103">
        <f t="shared" si="7"/>
        <v>1518.0976658209786</v>
      </c>
      <c r="J22" s="103">
        <f t="shared" si="8"/>
        <v>-9080.0785142189925</v>
      </c>
      <c r="K22" s="103">
        <f t="shared" si="9"/>
        <v>-2299.4394906429357</v>
      </c>
      <c r="L22" s="103">
        <f t="shared" si="10"/>
        <v>7736.2768156566508</v>
      </c>
    </row>
    <row r="23" spans="1:12">
      <c r="A23">
        <v>10</v>
      </c>
      <c r="B23" s="118">
        <f t="shared" si="1"/>
        <v>2125.1435233842985</v>
      </c>
      <c r="C23" s="118">
        <f t="shared" si="2"/>
        <v>2.2571592143349022E-2</v>
      </c>
      <c r="D23" s="74">
        <f t="shared" si="3"/>
        <v>-4.0068289507144583E-2</v>
      </c>
      <c r="E23" s="74">
        <f t="shared" si="4"/>
        <v>0.30124295307078325</v>
      </c>
      <c r="F23" s="118">
        <f t="shared" si="5"/>
        <v>-1.1692984668102318</v>
      </c>
      <c r="G23" s="118">
        <f t="shared" si="6"/>
        <v>-4.0068289507144583E-2</v>
      </c>
      <c r="H23" s="103">
        <f t="shared" si="0"/>
        <v>-2.2957438810677062</v>
      </c>
      <c r="I23" s="103">
        <f t="shared" si="7"/>
        <v>4017.7434015161257</v>
      </c>
      <c r="J23" s="103">
        <f t="shared" si="8"/>
        <v>-8595.850147967727</v>
      </c>
      <c r="K23" s="103">
        <f t="shared" si="9"/>
        <v>-4654.2036249436014</v>
      </c>
      <c r="L23" s="103">
        <f t="shared" si="10"/>
        <v>7541.9751109259951</v>
      </c>
    </row>
    <row r="24" spans="1:12">
      <c r="A24">
        <v>11</v>
      </c>
      <c r="B24" s="118">
        <f t="shared" si="1"/>
        <v>1690.3352604692091</v>
      </c>
      <c r="C24" s="118">
        <f t="shared" si="2"/>
        <v>3.2185230893658275E-2</v>
      </c>
      <c r="D24" s="74">
        <f t="shared" si="3"/>
        <v>-3.6849766417778755E-2</v>
      </c>
      <c r="E24" s="74">
        <f t="shared" si="4"/>
        <v>0.41500182949103603</v>
      </c>
      <c r="F24" s="118">
        <f t="shared" si="5"/>
        <v>-1.1277982838611282</v>
      </c>
      <c r="G24" s="118">
        <f t="shared" si="6"/>
        <v>-3.6849766417778755E-2</v>
      </c>
      <c r="H24" s="103">
        <f t="shared" si="0"/>
        <v>-2.1113360917816371</v>
      </c>
      <c r="I24" s="103">
        <f t="shared" si="7"/>
        <v>5728.9710990711728</v>
      </c>
      <c r="J24" s="103">
        <f t="shared" si="8"/>
        <v>-7905.3803896060763</v>
      </c>
      <c r="K24" s="103">
        <f t="shared" si="9"/>
        <v>-6411.7782656365071</v>
      </c>
      <c r="L24" s="103">
        <f t="shared" si="10"/>
        <v>7274.2989309042769</v>
      </c>
    </row>
    <row r="25" spans="1:12">
      <c r="A25">
        <v>12</v>
      </c>
      <c r="B25" s="118">
        <f t="shared" si="1"/>
        <v>1313.8886252671346</v>
      </c>
      <c r="C25" s="118">
        <f t="shared" si="2"/>
        <v>3.8289844339552619E-2</v>
      </c>
      <c r="D25" s="74">
        <f t="shared" si="3"/>
        <v>-3.3020781983823494E-2</v>
      </c>
      <c r="E25" s="74">
        <f t="shared" si="4"/>
        <v>0.49685951904201431</v>
      </c>
      <c r="F25" s="118">
        <f t="shared" si="5"/>
        <v>-1.0781123319569268</v>
      </c>
      <c r="G25" s="118">
        <f t="shared" si="6"/>
        <v>-3.3020781983823494E-2</v>
      </c>
      <c r="H25" s="103">
        <f t="shared" si="0"/>
        <v>-1.8919514438947118</v>
      </c>
      <c r="I25" s="103">
        <f t="shared" si="7"/>
        <v>6815.5922924403658</v>
      </c>
      <c r="J25" s="103">
        <f t="shared" si="8"/>
        <v>-7083.9483589896545</v>
      </c>
      <c r="K25" s="103">
        <f t="shared" si="9"/>
        <v>-7676.4795691991212</v>
      </c>
      <c r="L25" s="103">
        <f t="shared" si="10"/>
        <v>6953.8245411221778</v>
      </c>
    </row>
    <row r="26" spans="1:12">
      <c r="A26">
        <v>13</v>
      </c>
      <c r="B26" s="118">
        <f t="shared" si="1"/>
        <v>991.01109462623208</v>
      </c>
      <c r="C26" s="118">
        <f t="shared" si="2"/>
        <v>4.1660375383159406E-2</v>
      </c>
      <c r="D26" s="74">
        <f t="shared" si="3"/>
        <v>-2.8854744445507553E-2</v>
      </c>
      <c r="E26" s="74">
        <f t="shared" si="4"/>
        <v>0.55267851183637617</v>
      </c>
      <c r="F26" s="118">
        <f t="shared" si="5"/>
        <v>-1.0228444807732893</v>
      </c>
      <c r="G26" s="118">
        <f t="shared" si="6"/>
        <v>-2.8854744445507553E-2</v>
      </c>
      <c r="H26" s="103">
        <f t="shared" si="0"/>
        <v>-1.6532550756561377</v>
      </c>
      <c r="I26" s="103">
        <f t="shared" si="7"/>
        <v>7415.5468182023742</v>
      </c>
      <c r="J26" s="103">
        <f t="shared" si="8"/>
        <v>-6190.208325894735</v>
      </c>
      <c r="K26" s="103">
        <f t="shared" si="9"/>
        <v>-8538.8830078720111</v>
      </c>
      <c r="L26" s="103">
        <f t="shared" si="10"/>
        <v>6597.3469009877153</v>
      </c>
    </row>
    <row r="27" spans="1:12">
      <c r="A27">
        <v>14</v>
      </c>
      <c r="B27" s="118">
        <f t="shared" si="1"/>
        <v>716.19761457665663</v>
      </c>
      <c r="C27" s="118">
        <f t="shared" si="2"/>
        <v>4.2937535923764134E-2</v>
      </c>
      <c r="D27" s="74">
        <f t="shared" si="3"/>
        <v>-2.456099085313114E-2</v>
      </c>
      <c r="E27" s="74">
        <f t="shared" si="4"/>
        <v>0.58745678701434512</v>
      </c>
      <c r="F27" s="118">
        <f t="shared" si="5"/>
        <v>-0.96409880207185472</v>
      </c>
      <c r="G27" s="118">
        <f t="shared" si="6"/>
        <v>-2.456099085313114E-2</v>
      </c>
      <c r="H27" s="103">
        <f t="shared" si="0"/>
        <v>-1.4072411165438334</v>
      </c>
      <c r="I27" s="103">
        <f t="shared" si="7"/>
        <v>7642.8813944300155</v>
      </c>
      <c r="J27" s="103">
        <f t="shared" si="8"/>
        <v>-5269.0693677222234</v>
      </c>
      <c r="K27" s="103">
        <f t="shared" si="9"/>
        <v>-9076.2073593716323</v>
      </c>
      <c r="L27" s="103">
        <f t="shared" si="10"/>
        <v>6218.4372733634627</v>
      </c>
    </row>
    <row r="28" spans="1:12">
      <c r="A28">
        <v>15</v>
      </c>
      <c r="B28" s="118">
        <f t="shared" si="1"/>
        <v>483.9580593003775</v>
      </c>
      <c r="C28" s="118">
        <f t="shared" si="2"/>
        <v>4.2644337572557804E-2</v>
      </c>
      <c r="D28" s="74">
        <f t="shared" si="3"/>
        <v>-2.029655709587536E-2</v>
      </c>
      <c r="E28" s="74">
        <f t="shared" si="4"/>
        <v>0.60540775730056984</v>
      </c>
      <c r="F28" s="118">
        <f t="shared" si="5"/>
        <v>-0.90355802634179772</v>
      </c>
      <c r="G28" s="118">
        <f t="shared" si="6"/>
        <v>-2.029655709587536E-2</v>
      </c>
      <c r="H28" s="103">
        <f t="shared" si="0"/>
        <v>-1.1629070602399612</v>
      </c>
      <c r="I28" s="103">
        <f t="shared" si="7"/>
        <v>7590.6920879152894</v>
      </c>
      <c r="J28" s="103">
        <f t="shared" si="8"/>
        <v>-4354.2203937781405</v>
      </c>
      <c r="K28" s="103">
        <f t="shared" si="9"/>
        <v>-9353.5498502938044</v>
      </c>
      <c r="L28" s="103">
        <f t="shared" si="10"/>
        <v>5827.949269904595</v>
      </c>
    </row>
    <row r="29" spans="1:12">
      <c r="A29">
        <v>16</v>
      </c>
      <c r="B29" s="118">
        <f t="shared" si="1"/>
        <v>289.12888625206051</v>
      </c>
      <c r="C29" s="118">
        <f t="shared" si="2"/>
        <v>4.1203380189158714E-2</v>
      </c>
      <c r="D29" s="74">
        <f t="shared" si="3"/>
        <v>-1.6176219076959486E-2</v>
      </c>
      <c r="E29" s="74">
        <f t="shared" si="4"/>
        <v>0.6100563173103366</v>
      </c>
      <c r="F29" s="118">
        <f t="shared" si="5"/>
        <v>-0.84255239461076403</v>
      </c>
      <c r="G29" s="118">
        <f t="shared" si="6"/>
        <v>-1.6176219076959486E-2</v>
      </c>
      <c r="H29" s="103">
        <f t="shared" si="0"/>
        <v>-0.92682908158878674</v>
      </c>
      <c r="I29" s="103">
        <f t="shared" si="7"/>
        <v>7334.2016736702508</v>
      </c>
      <c r="J29" s="103">
        <f t="shared" si="8"/>
        <v>-3470.2842785801186</v>
      </c>
      <c r="K29" s="103">
        <f t="shared" si="9"/>
        <v>-9425.3701024447</v>
      </c>
      <c r="L29" s="103">
        <f t="shared" si="10"/>
        <v>5434.4629452394283</v>
      </c>
    </row>
    <row r="30" spans="1:12">
      <c r="A30">
        <v>17</v>
      </c>
      <c r="B30" s="118">
        <f t="shared" si="1"/>
        <v>126.98976211513946</v>
      </c>
      <c r="C30" s="118">
        <f t="shared" si="2"/>
        <v>3.8952963875146449E-2</v>
      </c>
      <c r="D30" s="74">
        <f t="shared" si="3"/>
        <v>-1.2280922689444841E-2</v>
      </c>
      <c r="E30" s="74">
        <f t="shared" si="4"/>
        <v>0.60433390948768329</v>
      </c>
      <c r="F30" s="118">
        <f t="shared" si="5"/>
        <v>-0.78211900366199572</v>
      </c>
      <c r="G30" s="118">
        <f t="shared" si="6"/>
        <v>-1.2280922689444841E-2</v>
      </c>
      <c r="H30" s="103">
        <f t="shared" si="0"/>
        <v>-0.70364503863164163</v>
      </c>
      <c r="I30" s="103">
        <f t="shared" si="7"/>
        <v>6933.6275697760675</v>
      </c>
      <c r="J30" s="103">
        <f t="shared" si="8"/>
        <v>-2634.6263445666018</v>
      </c>
      <c r="K30" s="103">
        <f t="shared" si="9"/>
        <v>-9336.9589015847068</v>
      </c>
      <c r="L30" s="103">
        <f t="shared" si="10"/>
        <v>5044.6675736198722</v>
      </c>
    </row>
    <row r="31" spans="1:12">
      <c r="A31">
        <v>18</v>
      </c>
      <c r="B31" s="118">
        <f t="shared" si="1"/>
        <v>-6.7098972446310654</v>
      </c>
      <c r="C31" s="118">
        <f t="shared" si="2"/>
        <v>3.6161343813302757E-2</v>
      </c>
      <c r="D31" s="74">
        <f t="shared" si="3"/>
        <v>-8.6647883081145648E-3</v>
      </c>
      <c r="E31" s="74">
        <f t="shared" si="4"/>
        <v>0.59066573730104832</v>
      </c>
      <c r="F31" s="118">
        <f t="shared" si="5"/>
        <v>-0.72305242993189089</v>
      </c>
      <c r="G31" s="118">
        <f t="shared" si="6"/>
        <v>-8.6647883081145648E-3</v>
      </c>
      <c r="H31" s="103">
        <f t="shared" si="0"/>
        <v>-0.49645580042926574</v>
      </c>
      <c r="I31" s="103">
        <f t="shared" si="7"/>
        <v>6436.7191987678907</v>
      </c>
      <c r="J31" s="103">
        <f t="shared" si="8"/>
        <v>-1858.8570357398175</v>
      </c>
      <c r="K31" s="103">
        <f t="shared" si="9"/>
        <v>-9125.7856413011959</v>
      </c>
      <c r="L31" s="103">
        <f t="shared" si="10"/>
        <v>4663.6881730606965</v>
      </c>
    </row>
    <row r="32" spans="1:12">
      <c r="A32">
        <v>19</v>
      </c>
      <c r="B32" s="118">
        <f t="shared" si="1"/>
        <v>-115.76469478757372</v>
      </c>
      <c r="C32" s="118">
        <f t="shared" si="2"/>
        <v>3.3039007775145582E-2</v>
      </c>
      <c r="D32" s="74">
        <f t="shared" si="3"/>
        <v>-5.3608875306000066E-3</v>
      </c>
      <c r="E32" s="74">
        <f t="shared" si="4"/>
        <v>0.57104793652639096</v>
      </c>
      <c r="F32" s="118">
        <f t="shared" si="5"/>
        <v>-0.6659476362792518</v>
      </c>
      <c r="G32" s="118">
        <f t="shared" si="6"/>
        <v>-5.3608875306000066E-3</v>
      </c>
      <c r="H32" s="103">
        <f t="shared" si="0"/>
        <v>-0.30715622994769032</v>
      </c>
      <c r="I32" s="103">
        <f t="shared" si="7"/>
        <v>5880.943383975914</v>
      </c>
      <c r="J32" s="103">
        <f t="shared" si="8"/>
        <v>-1150.0712019396194</v>
      </c>
      <c r="K32" s="103">
        <f t="shared" si="9"/>
        <v>-8822.6906193327395</v>
      </c>
      <c r="L32" s="103">
        <f t="shared" si="10"/>
        <v>4295.3622540011738</v>
      </c>
    </row>
    <row r="33" spans="1:12">
      <c r="A33">
        <v>20</v>
      </c>
      <c r="B33" s="118">
        <f t="shared" si="1"/>
        <v>-203.54381670472867</v>
      </c>
      <c r="C33" s="118">
        <f t="shared" si="2"/>
        <v>2.9749091832798939E-2</v>
      </c>
      <c r="D33" s="74">
        <f t="shared" si="3"/>
        <v>-2.3859783473201123E-3</v>
      </c>
      <c r="E33" s="74">
        <f t="shared" si="4"/>
        <v>0.5471145873349379</v>
      </c>
      <c r="F33" s="118">
        <f t="shared" si="5"/>
        <v>-0.61123617754575799</v>
      </c>
      <c r="G33" s="118">
        <f t="shared" si="6"/>
        <v>-2.3859783473201123E-3</v>
      </c>
      <c r="H33" s="103">
        <f t="shared" si="0"/>
        <v>-0.13670648931104171</v>
      </c>
      <c r="I33" s="103">
        <f t="shared" si="7"/>
        <v>5295.3383462382108</v>
      </c>
      <c r="J33" s="103">
        <f t="shared" si="8"/>
        <v>-511.86393485058369</v>
      </c>
      <c r="K33" s="103">
        <f t="shared" si="9"/>
        <v>-8452.9203743247908</v>
      </c>
      <c r="L33" s="103">
        <f t="shared" si="10"/>
        <v>3942.4733451701391</v>
      </c>
    </row>
    <row r="34" spans="1:12">
      <c r="A34">
        <v>21</v>
      </c>
      <c r="B34" s="118">
        <f t="shared" si="1"/>
        <v>-273.02738223297501</v>
      </c>
      <c r="C34" s="118">
        <f t="shared" si="2"/>
        <v>2.6416135557521769E-2</v>
      </c>
      <c r="D34" s="74">
        <f t="shared" si="3"/>
        <v>2.5563520843206473E-4</v>
      </c>
      <c r="E34" s="74">
        <f t="shared" si="4"/>
        <v>0.52019530192428842</v>
      </c>
      <c r="F34" s="118">
        <f t="shared" si="5"/>
        <v>-0.5592166473533291</v>
      </c>
      <c r="G34" s="118">
        <f t="shared" si="6"/>
        <v>2.5563520843206473E-4</v>
      </c>
      <c r="H34" s="103">
        <f t="shared" si="0"/>
        <v>1.4646818538104423E-2</v>
      </c>
      <c r="I34" s="103">
        <f t="shared" si="7"/>
        <v>4702.0721292388744</v>
      </c>
      <c r="J34" s="103">
        <f t="shared" si="8"/>
        <v>54.841421264930844</v>
      </c>
      <c r="K34" s="103">
        <f t="shared" si="9"/>
        <v>-8037.017414730256</v>
      </c>
      <c r="L34" s="103">
        <f t="shared" si="10"/>
        <v>3606.9473754289725</v>
      </c>
    </row>
    <row r="35" spans="1:12">
      <c r="A35">
        <v>22</v>
      </c>
      <c r="B35" s="118">
        <f t="shared" si="1"/>
        <v>-326.84351120252131</v>
      </c>
      <c r="C35" s="118">
        <f t="shared" si="2"/>
        <v>2.3133396304645441E-2</v>
      </c>
      <c r="D35" s="74">
        <f t="shared" si="3"/>
        <v>2.5689748388966088E-3</v>
      </c>
      <c r="E35" s="74">
        <f t="shared" si="4"/>
        <v>0.49136441306238121</v>
      </c>
      <c r="F35" s="118">
        <f t="shared" si="5"/>
        <v>-0.51008020604709103</v>
      </c>
      <c r="G35" s="118">
        <f t="shared" si="6"/>
        <v>2.5689748388966088E-3</v>
      </c>
      <c r="H35" s="103">
        <f t="shared" si="0"/>
        <v>0.14719141594407628</v>
      </c>
      <c r="I35" s="103">
        <f t="shared" si="7"/>
        <v>4117.7445422268884</v>
      </c>
      <c r="J35" s="103">
        <f t="shared" si="8"/>
        <v>551.12217218848946</v>
      </c>
      <c r="K35" s="103">
        <f t="shared" si="9"/>
        <v>-7591.5801818137897</v>
      </c>
      <c r="L35" s="103">
        <f t="shared" si="10"/>
        <v>3290.0173290037374</v>
      </c>
    </row>
    <row r="36" spans="1:12">
      <c r="A36">
        <v>23</v>
      </c>
      <c r="B36" s="118">
        <f t="shared" si="1"/>
        <v>-367.30386160532544</v>
      </c>
      <c r="C36" s="118">
        <f t="shared" si="2"/>
        <v>1.99689317901771E-2</v>
      </c>
      <c r="D36" s="74">
        <f t="shared" si="3"/>
        <v>4.5658680179143183E-3</v>
      </c>
      <c r="E36" s="74">
        <f t="shared" si="4"/>
        <v>0.46148282892872017</v>
      </c>
      <c r="F36" s="118">
        <f t="shared" si="5"/>
        <v>-0.46393192315421899</v>
      </c>
      <c r="G36" s="118">
        <f t="shared" si="6"/>
        <v>4.5658680179143183E-3</v>
      </c>
      <c r="H36" s="103">
        <f t="shared" si="0"/>
        <v>0.26160496724025301</v>
      </c>
      <c r="I36" s="103">
        <f t="shared" si="7"/>
        <v>3554.4698586515237</v>
      </c>
      <c r="J36" s="103">
        <f t="shared" si="8"/>
        <v>979.5156658831587</v>
      </c>
      <c r="K36" s="103">
        <f t="shared" si="9"/>
        <v>-7129.909706948727</v>
      </c>
      <c r="L36" s="103">
        <f t="shared" si="10"/>
        <v>2992.3609043447127</v>
      </c>
    </row>
    <row r="37" spans="1:12">
      <c r="A37">
        <v>24</v>
      </c>
      <c r="B37" s="118">
        <f t="shared" si="1"/>
        <v>-396.43672193066823</v>
      </c>
      <c r="C37" s="118">
        <f t="shared" si="2"/>
        <v>1.6970638990082033E-2</v>
      </c>
      <c r="D37" s="74">
        <f t="shared" si="3"/>
        <v>6.2629319169225216E-3</v>
      </c>
      <c r="E37" s="74">
        <f t="shared" si="4"/>
        <v>0.43123355461103713</v>
      </c>
      <c r="F37" s="118">
        <f t="shared" si="5"/>
        <v>-0.42080856769311525</v>
      </c>
      <c r="G37" s="118">
        <f t="shared" si="6"/>
        <v>6.2629319169225216E-3</v>
      </c>
      <c r="H37" s="103">
        <f t="shared" si="0"/>
        <v>0.35883956621743884</v>
      </c>
      <c r="I37" s="103">
        <f t="shared" si="7"/>
        <v>3020.773740234602</v>
      </c>
      <c r="J37" s="103">
        <f t="shared" si="8"/>
        <v>1343.5867841373886</v>
      </c>
      <c r="K37" s="103">
        <f t="shared" si="9"/>
        <v>-6662.5584187405238</v>
      </c>
      <c r="L37" s="103">
        <f t="shared" si="10"/>
        <v>2714.2152616205935</v>
      </c>
    </row>
    <row r="38" spans="1:12">
      <c r="A38">
        <v>25</v>
      </c>
      <c r="B38" s="118">
        <f t="shared" si="1"/>
        <v>-416.01736725206001</v>
      </c>
      <c r="C38" s="118">
        <f t="shared" si="2"/>
        <v>1.4170413546807297E-2</v>
      </c>
      <c r="D38" s="74">
        <f t="shared" si="3"/>
        <v>7.6799732716032517E-3</v>
      </c>
      <c r="E38" s="74">
        <f t="shared" si="4"/>
        <v>0.40115177779323602</v>
      </c>
      <c r="F38" s="118">
        <f t="shared" si="5"/>
        <v>-0.38069338991379165</v>
      </c>
      <c r="G38" s="118">
        <f t="shared" si="6"/>
        <v>7.6799732716032517E-3</v>
      </c>
      <c r="H38" s="103">
        <f t="shared" si="0"/>
        <v>0.44003005523614541</v>
      </c>
      <c r="I38" s="103">
        <f t="shared" si="7"/>
        <v>2522.3336113316991</v>
      </c>
      <c r="J38" s="103">
        <f t="shared" si="8"/>
        <v>1647.5846659570457</v>
      </c>
      <c r="K38" s="103">
        <f t="shared" si="9"/>
        <v>-6197.7949669054969</v>
      </c>
      <c r="L38" s="103">
        <f t="shared" si="10"/>
        <v>2455.4723649439561</v>
      </c>
    </row>
    <row r="39" spans="1:12">
      <c r="A39">
        <v>26</v>
      </c>
      <c r="B39" s="118">
        <f t="shared" si="1"/>
        <v>-427.59567532720439</v>
      </c>
      <c r="C39" s="118">
        <f t="shared" si="2"/>
        <v>1.1587570841386586E-2</v>
      </c>
      <c r="D39" s="74">
        <f t="shared" si="3"/>
        <v>8.8387303557419111E-3</v>
      </c>
      <c r="E39" s="74">
        <f t="shared" si="4"/>
        <v>0.37165030579412844</v>
      </c>
      <c r="F39" s="118">
        <f t="shared" si="5"/>
        <v>-0.34352835933437881</v>
      </c>
      <c r="G39" s="118">
        <f t="shared" si="6"/>
        <v>8.8387303557419111E-3</v>
      </c>
      <c r="H39" s="103">
        <f t="shared" si="0"/>
        <v>0.50642194563817622</v>
      </c>
      <c r="I39" s="103">
        <f t="shared" si="7"/>
        <v>2062.5876097668124</v>
      </c>
      <c r="J39" s="103">
        <f t="shared" si="8"/>
        <v>1896.1728232173123</v>
      </c>
      <c r="K39" s="103">
        <f t="shared" si="9"/>
        <v>-5741.9972245192848</v>
      </c>
      <c r="L39" s="103">
        <f t="shared" si="10"/>
        <v>2215.7579177067432</v>
      </c>
    </row>
    <row r="40" spans="1:12">
      <c r="A40">
        <v>27</v>
      </c>
      <c r="B40" s="118">
        <f t="shared" si="1"/>
        <v>-432.52112617158309</v>
      </c>
      <c r="C40" s="118">
        <f t="shared" si="2"/>
        <v>9.2316490326824728E-3</v>
      </c>
      <c r="D40" s="74">
        <f t="shared" si="3"/>
        <v>9.7618952590101584E-3</v>
      </c>
      <c r="E40" s="74">
        <f t="shared" si="4"/>
        <v>0.34304103606548536</v>
      </c>
      <c r="F40" s="118">
        <f t="shared" si="5"/>
        <v>-0.3092242557278303</v>
      </c>
      <c r="G40" s="118">
        <f t="shared" si="6"/>
        <v>9.7618952590101584E-3</v>
      </c>
      <c r="H40" s="103">
        <f t="shared" si="0"/>
        <v>0.55931539839004973</v>
      </c>
      <c r="I40" s="103">
        <f t="shared" si="7"/>
        <v>1643.2335278174801</v>
      </c>
      <c r="J40" s="103">
        <f t="shared" si="8"/>
        <v>2094.2193899154495</v>
      </c>
      <c r="K40" s="103">
        <f t="shared" si="9"/>
        <v>-5299.9840072117486</v>
      </c>
      <c r="L40" s="103">
        <f t="shared" si="10"/>
        <v>1994.4964494445055</v>
      </c>
    </row>
    <row r="41" spans="1:12">
      <c r="A41">
        <v>28</v>
      </c>
      <c r="B41" s="118">
        <f t="shared" si="1"/>
        <v>-431.9653599656865</v>
      </c>
      <c r="C41" s="118">
        <f t="shared" si="2"/>
        <v>7.1046960532150346E-3</v>
      </c>
      <c r="D41" s="74">
        <f t="shared" si="3"/>
        <v>1.0472364864331661E-2</v>
      </c>
      <c r="E41" s="74">
        <f t="shared" si="4"/>
        <v>0.31555304736541423</v>
      </c>
      <c r="F41" s="118">
        <f t="shared" si="5"/>
        <v>-0.27766895099128885</v>
      </c>
      <c r="G41" s="118">
        <f t="shared" si="6"/>
        <v>1.0472364864331661E-2</v>
      </c>
      <c r="H41" s="103">
        <f t="shared" si="0"/>
        <v>0.60002230824729719</v>
      </c>
      <c r="I41" s="103">
        <f t="shared" si="7"/>
        <v>1264.6358974722762</v>
      </c>
      <c r="J41" s="103">
        <f t="shared" si="8"/>
        <v>2246.6364343450714</v>
      </c>
      <c r="K41" s="103">
        <f t="shared" si="9"/>
        <v>-4875.2945817956497</v>
      </c>
      <c r="L41" s="103">
        <f t="shared" si="10"/>
        <v>1790.9647338938132</v>
      </c>
    </row>
    <row r="42" spans="1:12">
      <c r="A42">
        <v>29</v>
      </c>
      <c r="B42" s="118">
        <f t="shared" si="1"/>
        <v>-426.94248391551105</v>
      </c>
      <c r="C42" s="118">
        <f t="shared" si="2"/>
        <v>5.2031267348384928E-3</v>
      </c>
      <c r="D42" s="74">
        <f t="shared" si="3"/>
        <v>1.099267753781551E-2</v>
      </c>
      <c r="E42" s="74">
        <f t="shared" si="4"/>
        <v>0.2893478152805864</v>
      </c>
      <c r="F42" s="118">
        <f t="shared" si="5"/>
        <v>-0.24873416946323021</v>
      </c>
      <c r="G42" s="118">
        <f t="shared" si="6"/>
        <v>1.099267753781551E-2</v>
      </c>
      <c r="H42" s="103">
        <f t="shared" si="0"/>
        <v>0.62983402846509018</v>
      </c>
      <c r="I42" s="103">
        <f t="shared" si="7"/>
        <v>926.15655880125166</v>
      </c>
      <c r="J42" s="103">
        <f t="shared" si="8"/>
        <v>2358.2591121875612</v>
      </c>
      <c r="K42" s="103">
        <f t="shared" si="9"/>
        <v>-4470.42374608506</v>
      </c>
      <c r="L42" s="103">
        <f t="shared" si="10"/>
        <v>1604.3353930378348</v>
      </c>
    </row>
    <row r="43" spans="1:12">
      <c r="A43">
        <v>30</v>
      </c>
      <c r="B43" s="118">
        <f t="shared" si="1"/>
        <v>-418.32731794158781</v>
      </c>
      <c r="C43" s="118">
        <f t="shared" si="2"/>
        <v>3.5192227005274748E-3</v>
      </c>
      <c r="D43" s="74">
        <f t="shared" si="3"/>
        <v>1.1344599807868257E-2</v>
      </c>
      <c r="E43" s="74">
        <f t="shared" si="4"/>
        <v>0.26453198319822996</v>
      </c>
      <c r="F43" s="118">
        <f t="shared" si="5"/>
        <v>-0.22228097114340722</v>
      </c>
      <c r="G43" s="118">
        <f t="shared" si="6"/>
        <v>1.1344599807868257E-2</v>
      </c>
      <c r="H43" s="103">
        <f t="shared" si="0"/>
        <v>0.64999768925577572</v>
      </c>
      <c r="I43" s="103">
        <f t="shared" si="7"/>
        <v>626.42164069389048</v>
      </c>
      <c r="J43" s="103">
        <f t="shared" si="8"/>
        <v>2433.7569967819773</v>
      </c>
      <c r="K43" s="103">
        <f t="shared" si="9"/>
        <v>-4087.0191404126526</v>
      </c>
      <c r="L43" s="103">
        <f t="shared" si="10"/>
        <v>1433.7122638749765</v>
      </c>
    </row>
    <row r="44" spans="1:12">
      <c r="A44">
        <v>31</v>
      </c>
      <c r="B44" s="118">
        <f t="shared" si="1"/>
        <v>-406.87176093819153</v>
      </c>
      <c r="C44" s="118">
        <f t="shared" si="2"/>
        <v>2.0423361329124242E-3</v>
      </c>
      <c r="D44" s="74">
        <f t="shared" si="3"/>
        <v>1.1548833421159499E-2</v>
      </c>
      <c r="E44" s="74">
        <f t="shared" si="4"/>
        <v>0.24116805723615004</v>
      </c>
      <c r="F44" s="118">
        <f t="shared" si="5"/>
        <v>-0.1981641654197922</v>
      </c>
      <c r="G44" s="118">
        <f t="shared" si="6"/>
        <v>1.1548833421159499E-2</v>
      </c>
      <c r="H44" s="103">
        <f t="shared" si="0"/>
        <v>0.66169941333207094</v>
      </c>
      <c r="I44" s="103">
        <f t="shared" si="7"/>
        <v>363.5358316584115</v>
      </c>
      <c r="J44" s="103">
        <f t="shared" si="8"/>
        <v>2477.5712338413473</v>
      </c>
      <c r="K44" s="103">
        <f t="shared" si="9"/>
        <v>-3726.046484298518</v>
      </c>
      <c r="L44" s="103">
        <f t="shared" si="10"/>
        <v>1278.1588669576597</v>
      </c>
    </row>
    <row r="45" spans="1:12">
      <c r="A45">
        <v>32</v>
      </c>
      <c r="B45" s="118">
        <f t="shared" si="1"/>
        <v>-393.2194481589006</v>
      </c>
      <c r="C45" s="118">
        <f t="shared" si="2"/>
        <v>7.5984874842684939E-4</v>
      </c>
      <c r="D45" s="74">
        <f t="shared" si="3"/>
        <v>1.1624818296002185E-2</v>
      </c>
      <c r="E45" s="74">
        <f t="shared" si="4"/>
        <v>0.21928333986426324</v>
      </c>
      <c r="F45" s="118">
        <f t="shared" si="5"/>
        <v>-0.17623583143336588</v>
      </c>
      <c r="G45" s="118">
        <f t="shared" si="6"/>
        <v>1.1624818296002185E-2</v>
      </c>
      <c r="H45" s="103">
        <f t="shared" si="0"/>
        <v>0.66605302596738658</v>
      </c>
      <c r="I45" s="103">
        <f t="shared" si="7"/>
        <v>135.25307721997919</v>
      </c>
      <c r="J45" s="103">
        <f t="shared" si="8"/>
        <v>2493.8722690413488</v>
      </c>
      <c r="K45" s="103">
        <f t="shared" si="9"/>
        <v>-3387.9276009028672</v>
      </c>
      <c r="L45" s="103">
        <f t="shared" si="10"/>
        <v>1136.7211127452099</v>
      </c>
    </row>
    <row r="46" spans="1:12">
      <c r="A46">
        <v>33</v>
      </c>
      <c r="B46" s="118">
        <f t="shared" si="1"/>
        <v>-377.9188581036708</v>
      </c>
      <c r="C46" s="118">
        <f t="shared" si="2"/>
        <v>-3.4207097844475164E-4</v>
      </c>
      <c r="D46" s="74">
        <f t="shared" si="3"/>
        <v>1.159061119815771E-2</v>
      </c>
      <c r="E46" s="74">
        <f t="shared" si="4"/>
        <v>0.19887737085113272</v>
      </c>
      <c r="F46" s="118">
        <f t="shared" si="5"/>
        <v>-0.15634809434825261</v>
      </c>
      <c r="G46" s="118">
        <f t="shared" si="6"/>
        <v>1.159061119815771E-2</v>
      </c>
      <c r="H46" s="103">
        <f t="shared" si="0"/>
        <v>0.66409310363150698</v>
      </c>
      <c r="I46" s="103">
        <f t="shared" si="7"/>
        <v>-60.88863416316579</v>
      </c>
      <c r="J46" s="103">
        <f t="shared" si="8"/>
        <v>2486.5338203407737</v>
      </c>
      <c r="K46" s="103">
        <f t="shared" si="9"/>
        <v>-3072.6553796500007</v>
      </c>
      <c r="L46" s="103">
        <f t="shared" si="10"/>
        <v>1008.4452085462293</v>
      </c>
    </row>
    <row r="47" spans="1:12">
      <c r="A47">
        <v>34</v>
      </c>
      <c r="B47" s="118">
        <f t="shared" si="1"/>
        <v>-361.43501507383633</v>
      </c>
      <c r="C47" s="118">
        <f t="shared" si="2"/>
        <v>-1.2778763018770805E-3</v>
      </c>
      <c r="D47" s="74">
        <f t="shared" si="3"/>
        <v>1.1462823567970001E-2</v>
      </c>
      <c r="E47" s="74">
        <f t="shared" si="4"/>
        <v>0.17992810469570408</v>
      </c>
      <c r="F47" s="118">
        <f t="shared" si="5"/>
        <v>-0.13835528387868221</v>
      </c>
      <c r="G47" s="118">
        <f t="shared" si="6"/>
        <v>1.1462823567970001E-2</v>
      </c>
      <c r="H47" s="103">
        <f t="shared" si="0"/>
        <v>0.65677141174777276</v>
      </c>
      <c r="I47" s="103">
        <f t="shared" si="7"/>
        <v>-227.46198173412031</v>
      </c>
      <c r="J47" s="103">
        <f t="shared" si="8"/>
        <v>2459.1195400366046</v>
      </c>
      <c r="K47" s="103">
        <f t="shared" si="9"/>
        <v>-2779.889217548628</v>
      </c>
      <c r="L47" s="103">
        <f t="shared" si="10"/>
        <v>892.39158101750024</v>
      </c>
    </row>
    <row r="48" spans="1:12">
      <c r="A48">
        <v>35</v>
      </c>
      <c r="B48" s="118">
        <f t="shared" si="1"/>
        <v>-344.15992177135638</v>
      </c>
      <c r="C48" s="118">
        <f t="shared" si="2"/>
        <v>-2.0621862802873907E-3</v>
      </c>
      <c r="D48" s="74">
        <f t="shared" si="3"/>
        <v>1.1256604939941262E-2</v>
      </c>
      <c r="E48" s="74">
        <f t="shared" si="4"/>
        <v>0.16239701992848032</v>
      </c>
      <c r="F48" s="118">
        <f t="shared" si="5"/>
        <v>-0.12211558188583417</v>
      </c>
      <c r="G48" s="118">
        <f t="shared" si="6"/>
        <v>1.1256604939941262E-2</v>
      </c>
      <c r="H48" s="103">
        <f t="shared" si="0"/>
        <v>0.64495595470474787</v>
      </c>
      <c r="I48" s="103">
        <f t="shared" si="7"/>
        <v>-367.06915789115556</v>
      </c>
      <c r="J48" s="103">
        <f t="shared" si="8"/>
        <v>2414.879457765599</v>
      </c>
      <c r="K48" s="103">
        <f t="shared" si="9"/>
        <v>-2509.0339578950211</v>
      </c>
      <c r="L48" s="103">
        <f t="shared" si="10"/>
        <v>787.64550316363045</v>
      </c>
    </row>
    <row r="49" spans="1:12">
      <c r="A49">
        <v>36</v>
      </c>
      <c r="B49" s="118">
        <f t="shared" si="1"/>
        <v>-326.42184514305279</v>
      </c>
      <c r="C49" s="118">
        <f t="shared" si="2"/>
        <v>-2.7094403105485491E-3</v>
      </c>
      <c r="D49" s="74">
        <f t="shared" si="3"/>
        <v>1.0985660908886407E-2</v>
      </c>
      <c r="E49" s="74">
        <f t="shared" si="4"/>
        <v>0.14623332677750464</v>
      </c>
      <c r="F49" s="118">
        <f t="shared" si="5"/>
        <v>-0.1074922492080837</v>
      </c>
      <c r="G49" s="118">
        <f t="shared" si="6"/>
        <v>1.0985660908886407E-2</v>
      </c>
      <c r="H49" s="103">
        <f t="shared" si="0"/>
        <v>0.62943200524104315</v>
      </c>
      <c r="I49" s="103">
        <f t="shared" si="7"/>
        <v>-482.28037527764172</v>
      </c>
      <c r="J49" s="103">
        <f t="shared" si="8"/>
        <v>2356.7538347834006</v>
      </c>
      <c r="K49" s="103">
        <f t="shared" si="9"/>
        <v>-2259.3048987124466</v>
      </c>
      <c r="L49" s="103">
        <f t="shared" si="10"/>
        <v>693.32500739213992</v>
      </c>
    </row>
    <row r="50" spans="1:12">
      <c r="A50">
        <v>37</v>
      </c>
      <c r="B50" s="118">
        <f t="shared" si="1"/>
        <v>-308.4935681854522</v>
      </c>
      <c r="C50" s="118">
        <f t="shared" si="2"/>
        <v>-3.2336421975119483E-3</v>
      </c>
      <c r="D50" s="74">
        <f t="shared" si="3"/>
        <v>1.0662296689135212E-2</v>
      </c>
      <c r="E50" s="74">
        <f t="shared" si="4"/>
        <v>0.13137741499266223</v>
      </c>
      <c r="F50" s="118">
        <f t="shared" si="5"/>
        <v>-9.4354507708817481E-2</v>
      </c>
      <c r="G50" s="118">
        <f t="shared" si="6"/>
        <v>1.0662296689135212E-2</v>
      </c>
      <c r="H50" s="103">
        <f t="shared" si="0"/>
        <v>0.61090460020375881</v>
      </c>
      <c r="I50" s="103">
        <f t="shared" si="7"/>
        <v>-575.58831115712678</v>
      </c>
      <c r="J50" s="103">
        <f t="shared" si="8"/>
        <v>2287.3825087201772</v>
      </c>
      <c r="K50" s="103">
        <f t="shared" si="9"/>
        <v>-2029.7810616366314</v>
      </c>
      <c r="L50" s="103">
        <f t="shared" si="10"/>
        <v>608.58657472187281</v>
      </c>
    </row>
    <row r="51" spans="1:12">
      <c r="A51">
        <v>38</v>
      </c>
      <c r="B51" s="118">
        <f t="shared" si="1"/>
        <v>-290.59971064829176</v>
      </c>
      <c r="C51" s="118">
        <f t="shared" si="2"/>
        <v>-3.6481763770434493E-3</v>
      </c>
      <c r="D51" s="74">
        <f t="shared" si="3"/>
        <v>1.0297479051430868E-2</v>
      </c>
      <c r="E51" s="74">
        <f t="shared" si="4"/>
        <v>0.11776366250497937</v>
      </c>
      <c r="F51" s="118">
        <f t="shared" si="5"/>
        <v>-8.2578141458319543E-2</v>
      </c>
      <c r="G51" s="118">
        <f t="shared" si="6"/>
        <v>1.0297479051430868E-2</v>
      </c>
      <c r="H51" s="103">
        <f t="shared" si="0"/>
        <v>0.5900020892713671</v>
      </c>
      <c r="I51" s="103">
        <f t="shared" si="7"/>
        <v>-649.37539511373393</v>
      </c>
      <c r="J51" s="103">
        <f t="shared" si="8"/>
        <v>2209.1181809034642</v>
      </c>
      <c r="K51" s="103">
        <f t="shared" si="9"/>
        <v>-1819.4485857019313</v>
      </c>
      <c r="L51" s="103">
        <f t="shared" si="10"/>
        <v>532.629012406161</v>
      </c>
    </row>
    <row r="52" spans="1:12">
      <c r="A52">
        <v>39</v>
      </c>
      <c r="B52" s="118">
        <f t="shared" si="1"/>
        <v>-272.92321249396002</v>
      </c>
      <c r="C52" s="118">
        <f t="shared" si="2"/>
        <v>-3.9656818886666355E-3</v>
      </c>
      <c r="D52" s="74">
        <f t="shared" si="3"/>
        <v>9.9009108625642047E-3</v>
      </c>
      <c r="E52" s="74">
        <f t="shared" si="4"/>
        <v>0.10532270754942966</v>
      </c>
      <c r="F52" s="118">
        <f t="shared" si="5"/>
        <v>-7.2045870703376577E-2</v>
      </c>
      <c r="G52" s="118">
        <f t="shared" si="6"/>
        <v>9.9009108625642047E-3</v>
      </c>
      <c r="H52" s="103">
        <f t="shared" si="0"/>
        <v>0.56728040576016037</v>
      </c>
      <c r="I52" s="103">
        <f t="shared" si="7"/>
        <v>-705.89137618266113</v>
      </c>
      <c r="J52" s="103">
        <f t="shared" si="8"/>
        <v>2124.0424073458989</v>
      </c>
      <c r="K52" s="103">
        <f t="shared" si="9"/>
        <v>-1627.2358316386883</v>
      </c>
      <c r="L52" s="103">
        <f t="shared" si="10"/>
        <v>464.69586603677891</v>
      </c>
    </row>
    <row r="53" spans="1:12">
      <c r="A53">
        <v>40</v>
      </c>
      <c r="B53" s="118">
        <f t="shared" si="1"/>
        <v>-255.61106556132842</v>
      </c>
      <c r="C53" s="118">
        <f t="shared" si="2"/>
        <v>-4.1979721947168272E-3</v>
      </c>
      <c r="D53" s="74">
        <f t="shared" si="3"/>
        <v>9.4811136430925213E-3</v>
      </c>
      <c r="E53" s="74">
        <f t="shared" si="4"/>
        <v>9.3983271457935585E-2</v>
      </c>
      <c r="F53" s="118">
        <f t="shared" si="5"/>
        <v>-6.2647543557583021E-2</v>
      </c>
      <c r="G53" s="118">
        <f t="shared" si="6"/>
        <v>9.4811136430925213E-3</v>
      </c>
      <c r="H53" s="103">
        <f t="shared" si="0"/>
        <v>0.54322779683310585</v>
      </c>
      <c r="I53" s="103">
        <f t="shared" si="7"/>
        <v>-747.23905065959525</v>
      </c>
      <c r="J53" s="103">
        <f t="shared" si="8"/>
        <v>2033.9833098526385</v>
      </c>
      <c r="K53" s="103">
        <f t="shared" si="9"/>
        <v>-1452.0415440251047</v>
      </c>
      <c r="L53" s="103">
        <f t="shared" si="10"/>
        <v>404.07665594641048</v>
      </c>
    </row>
    <row r="54" spans="1:12">
      <c r="A54">
        <v>41</v>
      </c>
      <c r="B54" s="118">
        <f t="shared" si="1"/>
        <v>-238.77937111434903</v>
      </c>
      <c r="C54" s="118">
        <f t="shared" si="2"/>
        <v>-4.3559910401855771E-3</v>
      </c>
      <c r="D54" s="74">
        <f t="shared" si="3"/>
        <v>9.0455145390739636E-3</v>
      </c>
      <c r="E54" s="74">
        <f t="shared" si="4"/>
        <v>8.3673606155111629E-2</v>
      </c>
      <c r="F54" s="118">
        <f t="shared" si="5"/>
        <v>-5.4280182942071861E-2</v>
      </c>
      <c r="G54" s="118">
        <f t="shared" si="6"/>
        <v>9.0455145390739636E-3</v>
      </c>
      <c r="H54" s="103">
        <f t="shared" si="0"/>
        <v>0.51826980661316224</v>
      </c>
      <c r="I54" s="103">
        <f t="shared" si="7"/>
        <v>-775.3664051530327</v>
      </c>
      <c r="J54" s="103">
        <f t="shared" si="8"/>
        <v>1940.5342340675375</v>
      </c>
      <c r="K54" s="103">
        <f t="shared" si="9"/>
        <v>-1292.7572150964747</v>
      </c>
      <c r="L54" s="103">
        <f t="shared" si="10"/>
        <v>350.10717997636351</v>
      </c>
    </row>
    <row r="55" spans="1:12">
      <c r="A55">
        <v>42</v>
      </c>
      <c r="B55" s="118">
        <f t="shared" si="1"/>
        <v>-222.51779379439353</v>
      </c>
      <c r="C55" s="118">
        <f t="shared" si="2"/>
        <v>-4.4497963036437506E-3</v>
      </c>
      <c r="D55" s="74">
        <f t="shared" si="3"/>
        <v>8.6005349087095884E-3</v>
      </c>
      <c r="E55" s="74">
        <f t="shared" si="4"/>
        <v>7.4322629138736662E-2</v>
      </c>
      <c r="F55" s="118">
        <f t="shared" si="5"/>
        <v>-4.6847920028198195E-2</v>
      </c>
      <c r="G55" s="118">
        <f t="shared" si="6"/>
        <v>8.6005349087095884E-3</v>
      </c>
      <c r="H55" s="103">
        <f t="shared" si="0"/>
        <v>0.49277435182399215</v>
      </c>
      <c r="I55" s="103">
        <f t="shared" si="7"/>
        <v>-792.06374204858764</v>
      </c>
      <c r="J55" s="103">
        <f t="shared" si="8"/>
        <v>1845.0727539654681</v>
      </c>
      <c r="K55" s="103">
        <f t="shared" si="9"/>
        <v>-1148.2846201934815</v>
      </c>
      <c r="L55" s="103">
        <f t="shared" si="10"/>
        <v>302.16908418187836</v>
      </c>
    </row>
    <row r="56" spans="1:12">
      <c r="A56">
        <v>43</v>
      </c>
      <c r="B56" s="118">
        <f t="shared" si="1"/>
        <v>-206.89347590527723</v>
      </c>
      <c r="C56" s="118">
        <f t="shared" si="2"/>
        <v>-4.4885652577940334E-3</v>
      </c>
      <c r="D56" s="74">
        <f t="shared" si="3"/>
        <v>8.1516783829301848E-3</v>
      </c>
      <c r="E56" s="74">
        <f t="shared" si="4"/>
        <v>6.5860799122604216E-2</v>
      </c>
      <c r="F56" s="118">
        <f t="shared" si="5"/>
        <v>-4.0261840115937773E-2</v>
      </c>
      <c r="G56" s="118">
        <f t="shared" si="6"/>
        <v>8.1516783829301848E-3</v>
      </c>
      <c r="H56" s="103">
        <f t="shared" si="0"/>
        <v>0.46705676728992729</v>
      </c>
      <c r="I56" s="103">
        <f t="shared" si="7"/>
        <v>-798.96461588733791</v>
      </c>
      <c r="J56" s="103">
        <f t="shared" si="8"/>
        <v>1748.7795634900126</v>
      </c>
      <c r="K56" s="103">
        <f t="shared" si="9"/>
        <v>-1017.5493464442351</v>
      </c>
      <c r="L56" s="103">
        <f t="shared" si="10"/>
        <v>259.68886874779867</v>
      </c>
    </row>
    <row r="57" spans="1:12">
      <c r="A57">
        <v>44</v>
      </c>
      <c r="B57" s="118">
        <f t="shared" si="1"/>
        <v>-191.95446990623827</v>
      </c>
      <c r="C57" s="118">
        <f t="shared" si="2"/>
        <v>-4.480615883309759E-3</v>
      </c>
      <c r="D57" s="74">
        <f t="shared" si="3"/>
        <v>7.7036167945992093E-3</v>
      </c>
      <c r="E57" s="74">
        <f t="shared" si="4"/>
        <v>5.8220777323879203E-2</v>
      </c>
      <c r="F57" s="118">
        <f t="shared" si="5"/>
        <v>-3.443976238354985E-2</v>
      </c>
      <c r="G57" s="118">
        <f t="shared" si="6"/>
        <v>7.7036167945992093E-3</v>
      </c>
      <c r="H57" s="103">
        <f t="shared" si="0"/>
        <v>0.44138472931663431</v>
      </c>
      <c r="I57" s="103">
        <f t="shared" si="7"/>
        <v>-797.54962722913706</v>
      </c>
      <c r="J57" s="103">
        <f t="shared" si="8"/>
        <v>1652.6569109453683</v>
      </c>
      <c r="K57" s="103">
        <f t="shared" si="9"/>
        <v>-899.51100965393368</v>
      </c>
      <c r="L57" s="103">
        <f t="shared" si="10"/>
        <v>222.13646737389652</v>
      </c>
    </row>
    <row r="58" spans="1:12">
      <c r="A58">
        <v>45</v>
      </c>
      <c r="B58" s="118">
        <f t="shared" si="1"/>
        <v>-177.73274143619406</v>
      </c>
      <c r="C58" s="118">
        <f t="shared" si="2"/>
        <v>-4.433439899819285E-3</v>
      </c>
      <c r="D58" s="74">
        <f t="shared" si="3"/>
        <v>7.2602728046172807E-3</v>
      </c>
      <c r="E58" s="74">
        <f t="shared" si="4"/>
        <v>5.133791238718572E-2</v>
      </c>
      <c r="F58" s="118">
        <f t="shared" si="5"/>
        <v>-2.9305971144831279E-2</v>
      </c>
      <c r="G58" s="118">
        <f t="shared" si="6"/>
        <v>7.2602728046172807E-3</v>
      </c>
      <c r="H58" s="103">
        <f t="shared" si="0"/>
        <v>0.41598298981817955</v>
      </c>
      <c r="I58" s="103">
        <f t="shared" si="7"/>
        <v>-789.15230216783277</v>
      </c>
      <c r="J58" s="103">
        <f t="shared" si="8"/>
        <v>1557.5463247745452</v>
      </c>
      <c r="K58" s="103">
        <f t="shared" si="9"/>
        <v>-793.17074638201939</v>
      </c>
      <c r="L58" s="103">
        <f t="shared" si="10"/>
        <v>189.02351388416176</v>
      </c>
    </row>
    <row r="59" spans="1:12">
      <c r="A59">
        <v>46</v>
      </c>
      <c r="B59" s="118">
        <f t="shared" si="1"/>
        <v>-164.24679010885475</v>
      </c>
      <c r="C59" s="118">
        <f t="shared" si="2"/>
        <v>-4.3537440255350399E-3</v>
      </c>
      <c r="D59" s="74">
        <f t="shared" si="3"/>
        <v>6.8248984020637766E-3</v>
      </c>
      <c r="E59" s="74">
        <f t="shared" si="4"/>
        <v>4.5150580979395907E-2</v>
      </c>
      <c r="F59" s="118">
        <f t="shared" si="5"/>
        <v>-2.479091304689169E-2</v>
      </c>
      <c r="G59" s="118">
        <f t="shared" si="6"/>
        <v>6.8248984020637766E-3</v>
      </c>
      <c r="H59" s="103">
        <f t="shared" si="0"/>
        <v>0.391037874043834</v>
      </c>
      <c r="I59" s="103">
        <f t="shared" si="7"/>
        <v>-774.96643654523712</v>
      </c>
      <c r="J59" s="103">
        <f t="shared" si="8"/>
        <v>1464.1454541947419</v>
      </c>
      <c r="K59" s="103">
        <f t="shared" si="9"/>
        <v>-697.57647613166682</v>
      </c>
      <c r="L59" s="103">
        <f t="shared" si="10"/>
        <v>159.9013891524514</v>
      </c>
    </row>
    <row r="60" spans="1:12">
      <c r="A60">
        <v>47</v>
      </c>
      <c r="B60" s="118">
        <f t="shared" si="1"/>
        <v>-151.50393067028935</v>
      </c>
      <c r="C60" s="118">
        <f t="shared" si="2"/>
        <v>-4.2474966795032019E-3</v>
      </c>
      <c r="D60" s="74">
        <f t="shared" si="3"/>
        <v>6.4001487341134563E-3</v>
      </c>
      <c r="E60" s="74">
        <f t="shared" si="4"/>
        <v>3.960041101353716E-2</v>
      </c>
      <c r="F60" s="118">
        <f t="shared" si="5"/>
        <v>-2.0830871945537975E-2</v>
      </c>
      <c r="G60" s="118">
        <f t="shared" si="6"/>
        <v>6.4001487341134563E-3</v>
      </c>
      <c r="H60" s="103">
        <f t="shared" si="0"/>
        <v>0.36670151072069751</v>
      </c>
      <c r="I60" s="103">
        <f t="shared" si="7"/>
        <v>-756.05440895156994</v>
      </c>
      <c r="J60" s="103">
        <f t="shared" si="8"/>
        <v>1373.0239079293597</v>
      </c>
      <c r="K60" s="103">
        <f t="shared" si="9"/>
        <v>-611.82635015914911</v>
      </c>
      <c r="L60" s="103">
        <f t="shared" si="10"/>
        <v>134.35912404871993</v>
      </c>
    </row>
    <row r="61" spans="1:12">
      <c r="A61">
        <v>48</v>
      </c>
      <c r="B61" s="118">
        <f t="shared" si="1"/>
        <v>-139.50227286736055</v>
      </c>
      <c r="C61" s="118">
        <f t="shared" si="2"/>
        <v>-4.1199779209649071E-3</v>
      </c>
      <c r="D61" s="74">
        <f t="shared" si="3"/>
        <v>5.9881509420169655E-3</v>
      </c>
      <c r="E61" s="74">
        <f t="shared" si="4"/>
        <v>3.4632410139826555E-2</v>
      </c>
      <c r="F61" s="118">
        <f t="shared" si="5"/>
        <v>-1.7367630931555321E-2</v>
      </c>
      <c r="G61" s="118">
        <f t="shared" si="6"/>
        <v>5.9881509420169655E-3</v>
      </c>
      <c r="H61" s="103">
        <f t="shared" si="0"/>
        <v>0.34309577606486025</v>
      </c>
      <c r="I61" s="103">
        <f t="shared" si="7"/>
        <v>-733.3560699317535</v>
      </c>
      <c r="J61" s="103">
        <f t="shared" si="8"/>
        <v>1284.6380215908996</v>
      </c>
      <c r="K61" s="103">
        <f t="shared" si="9"/>
        <v>-535.07073666032034</v>
      </c>
      <c r="L61" s="103">
        <f t="shared" si="10"/>
        <v>112.02121950853181</v>
      </c>
    </row>
    <row r="62" spans="1:12">
      <c r="A62">
        <v>49</v>
      </c>
      <c r="B62" s="118">
        <f t="shared" si="1"/>
        <v>-128.2324345073576</v>
      </c>
      <c r="C62" s="118">
        <f t="shared" si="2"/>
        <v>-3.9758308985048518E-3</v>
      </c>
      <c r="D62" s="74">
        <f t="shared" si="3"/>
        <v>5.59056785216648E-3</v>
      </c>
      <c r="E62" s="74">
        <f t="shared" si="4"/>
        <v>3.0195018467340518E-2</v>
      </c>
      <c r="F62" s="118">
        <f t="shared" si="5"/>
        <v>-1.4348129084821269E-2</v>
      </c>
      <c r="G62" s="118">
        <f t="shared" si="6"/>
        <v>5.59056785216648E-3</v>
      </c>
      <c r="H62" s="103">
        <f t="shared" si="0"/>
        <v>0.32031594301065686</v>
      </c>
      <c r="I62" s="103">
        <f t="shared" si="7"/>
        <v>-707.6978999338636</v>
      </c>
      <c r="J62" s="103">
        <f t="shared" si="8"/>
        <v>1199.3445213252749</v>
      </c>
      <c r="K62" s="103">
        <f t="shared" si="9"/>
        <v>-466.51303532041101</v>
      </c>
      <c r="L62" s="103">
        <f t="shared" si="10"/>
        <v>92.545432597097189</v>
      </c>
    </row>
    <row r="63" spans="1:12">
      <c r="A63">
        <v>50</v>
      </c>
      <c r="B63" s="118">
        <f t="shared" si="1"/>
        <v>-117.67901866809744</v>
      </c>
      <c r="C63" s="118">
        <f t="shared" si="2"/>
        <v>-3.8191134741203041E-3</v>
      </c>
      <c r="D63" s="74">
        <f t="shared" si="3"/>
        <v>5.2086565047544499E-3</v>
      </c>
      <c r="E63" s="74">
        <f t="shared" si="4"/>
        <v>2.6240101357662443E-2</v>
      </c>
      <c r="F63" s="118">
        <f t="shared" si="5"/>
        <v>-1.1724118949055024E-2</v>
      </c>
      <c r="G63" s="118">
        <f t="shared" si="6"/>
        <v>5.2086565047544499E-3</v>
      </c>
      <c r="H63" s="103">
        <f t="shared" si="0"/>
        <v>0.29843403465579299</v>
      </c>
      <c r="I63" s="103">
        <f t="shared" si="7"/>
        <v>-679.80219839341407</v>
      </c>
      <c r="J63" s="103">
        <f t="shared" si="8"/>
        <v>1117.4130799649722</v>
      </c>
      <c r="K63" s="103">
        <f t="shared" si="9"/>
        <v>-405.40956597588473</v>
      </c>
      <c r="L63" s="103">
        <f t="shared" si="10"/>
        <v>75.620567221404912</v>
      </c>
    </row>
    <row r="64" spans="1:12">
      <c r="A64">
        <v>51</v>
      </c>
      <c r="B64" s="118">
        <f t="shared" si="1"/>
        <v>-107.82188281707832</v>
      </c>
      <c r="C64" s="118">
        <f t="shared" si="2"/>
        <v>-3.6533490081011792E-3</v>
      </c>
      <c r="D64" s="74">
        <f t="shared" si="3"/>
        <v>4.8433216039443323E-3</v>
      </c>
      <c r="E64" s="74">
        <f t="shared" si="4"/>
        <v>2.2722895481871109E-2</v>
      </c>
      <c r="F64" s="118">
        <f t="shared" si="5"/>
        <v>-9.4518294008679136E-3</v>
      </c>
      <c r="G64" s="118">
        <f t="shared" si="6"/>
        <v>4.8433216039443323E-3</v>
      </c>
      <c r="H64" s="103">
        <f t="shared" si="0"/>
        <v>0.27750188673054266</v>
      </c>
      <c r="I64" s="103">
        <f t="shared" si="7"/>
        <v>-650.29612344200984</v>
      </c>
      <c r="J64" s="103">
        <f t="shared" si="8"/>
        <v>1039.0377836941775</v>
      </c>
      <c r="K64" s="103">
        <f t="shared" si="9"/>
        <v>-351.06873519490864</v>
      </c>
      <c r="L64" s="103">
        <f t="shared" si="10"/>
        <v>60.964299635598046</v>
      </c>
    </row>
    <row r="65" spans="1:12">
      <c r="A65">
        <v>52</v>
      </c>
      <c r="B65" s="118">
        <f t="shared" si="1"/>
        <v>-98.637224692857075</v>
      </c>
      <c r="C65" s="118">
        <f t="shared" si="2"/>
        <v>-3.4815755515141041E-3</v>
      </c>
      <c r="D65" s="74">
        <f t="shared" si="3"/>
        <v>4.4951640487929222E-3</v>
      </c>
      <c r="E65" s="74">
        <f t="shared" si="4"/>
        <v>1.9601919085774785E-2</v>
      </c>
      <c r="F65" s="118">
        <f t="shared" si="5"/>
        <v>-7.4916374922904348E-3</v>
      </c>
      <c r="G65" s="118">
        <f t="shared" si="6"/>
        <v>4.4951640487929222E-3</v>
      </c>
      <c r="H65" s="103">
        <f t="shared" si="0"/>
        <v>0.25755392821477369</v>
      </c>
      <c r="I65" s="103">
        <f t="shared" si="7"/>
        <v>-619.72044816951052</v>
      </c>
      <c r="J65" s="103">
        <f t="shared" si="8"/>
        <v>964.34754338754556</v>
      </c>
      <c r="K65" s="103">
        <f t="shared" si="9"/>
        <v>-302.84964987522045</v>
      </c>
      <c r="L65" s="103">
        <f t="shared" si="10"/>
        <v>48.321061825273304</v>
      </c>
    </row>
    <row r="66" spans="1:12">
      <c r="A66">
        <v>53</v>
      </c>
      <c r="B66" s="118">
        <f t="shared" si="1"/>
        <v>-90.098507168087892</v>
      </c>
      <c r="C66" s="118">
        <f t="shared" si="2"/>
        <v>-3.306392904121202E-3</v>
      </c>
      <c r="D66" s="74">
        <f t="shared" si="3"/>
        <v>4.1645247583808019E-3</v>
      </c>
      <c r="E66" s="74">
        <f t="shared" si="4"/>
        <v>1.6838855506537197E-2</v>
      </c>
      <c r="F66" s="118">
        <f t="shared" si="5"/>
        <v>-5.8077519416367147E-3</v>
      </c>
      <c r="G66" s="118">
        <f t="shared" si="6"/>
        <v>4.1645247583808019E-3</v>
      </c>
      <c r="H66" s="103">
        <f t="shared" si="0"/>
        <v>0.23860969233295884</v>
      </c>
      <c r="I66" s="103">
        <f t="shared" si="7"/>
        <v>-588.53793693357397</v>
      </c>
      <c r="J66" s="103">
        <f t="shared" si="8"/>
        <v>893.41549641543338</v>
      </c>
      <c r="K66" s="103">
        <f t="shared" si="9"/>
        <v>-260.16031757599973</v>
      </c>
      <c r="L66" s="103">
        <f t="shared" si="10"/>
        <v>37.460000023556809</v>
      </c>
    </row>
    <row r="67" spans="1:12">
      <c r="A67">
        <v>54</v>
      </c>
      <c r="B67" s="118">
        <f t="shared" si="1"/>
        <v>-82.177241929416482</v>
      </c>
      <c r="C67" s="118">
        <f t="shared" si="2"/>
        <v>-3.1300071651560336E-3</v>
      </c>
      <c r="D67" s="74">
        <f t="shared" si="3"/>
        <v>3.8515240418651986E-3</v>
      </c>
      <c r="E67" s="74">
        <f t="shared" si="4"/>
        <v>1.4398417376393347E-2</v>
      </c>
      <c r="F67" s="118">
        <f t="shared" si="5"/>
        <v>-4.3679102039973798E-3</v>
      </c>
      <c r="G67" s="118">
        <f t="shared" si="6"/>
        <v>3.8515240418651986E-3</v>
      </c>
      <c r="H67" s="103">
        <f t="shared" si="0"/>
        <v>0.22067607229204406</v>
      </c>
      <c r="I67" s="103">
        <f t="shared" si="7"/>
        <v>-557.14127539777394</v>
      </c>
      <c r="J67" s="103">
        <f t="shared" si="8"/>
        <v>826.26745270134109</v>
      </c>
      <c r="K67" s="103">
        <f t="shared" si="9"/>
        <v>-222.45554846527722</v>
      </c>
      <c r="L67" s="103">
        <f t="shared" si="10"/>
        <v>28.173020815783101</v>
      </c>
    </row>
    <row r="68" spans="1:12">
      <c r="A68">
        <v>55</v>
      </c>
      <c r="B68" s="118">
        <f t="shared" si="1"/>
        <v>-74.843649654073033</v>
      </c>
      <c r="C68" s="118">
        <f t="shared" si="2"/>
        <v>-2.9542725396119454E-3</v>
      </c>
      <c r="D68" s="74">
        <f t="shared" si="3"/>
        <v>3.5560967879040041E-3</v>
      </c>
      <c r="E68" s="74">
        <f t="shared" si="4"/>
        <v>1.2248197592842049E-2</v>
      </c>
      <c r="F68" s="118">
        <f t="shared" si="5"/>
        <v>-3.1430904447131746E-3</v>
      </c>
      <c r="G68" s="118">
        <f t="shared" si="6"/>
        <v>3.5560967879040041E-3</v>
      </c>
      <c r="H68" s="103">
        <f t="shared" si="0"/>
        <v>0.20374933748692811</v>
      </c>
      <c r="I68" s="103">
        <f t="shared" si="7"/>
        <v>-525.86051205092633</v>
      </c>
      <c r="J68" s="103">
        <f t="shared" si="8"/>
        <v>762.88944390904601</v>
      </c>
      <c r="K68" s="103">
        <f t="shared" si="9"/>
        <v>-189.23465280940965</v>
      </c>
      <c r="L68" s="103">
        <f t="shared" si="10"/>
        <v>20.272933368399976</v>
      </c>
    </row>
    <row r="69" spans="1:12">
      <c r="A69">
        <v>56</v>
      </c>
      <c r="B69" s="118">
        <f t="shared" si="1"/>
        <v>-68.067212417109999</v>
      </c>
      <c r="C69" s="118">
        <f t="shared" si="2"/>
        <v>-2.7807302695285877E-3</v>
      </c>
      <c r="D69" s="74">
        <f t="shared" si="3"/>
        <v>3.2780237609511455E-3</v>
      </c>
      <c r="E69" s="74">
        <f t="shared" si="4"/>
        <v>1.0358511992557766E-2</v>
      </c>
      <c r="F69" s="118">
        <f t="shared" si="5"/>
        <v>-2.1072392454573978E-3</v>
      </c>
      <c r="G69" s="118">
        <f t="shared" si="6"/>
        <v>3.2780237609511455E-3</v>
      </c>
      <c r="H69" s="103">
        <f t="shared" si="0"/>
        <v>0.18781692664610172</v>
      </c>
      <c r="I69" s="103">
        <f t="shared" si="7"/>
        <v>-494.96998797608859</v>
      </c>
      <c r="J69" s="103">
        <f t="shared" si="8"/>
        <v>703.23443743684925</v>
      </c>
      <c r="K69" s="103">
        <f t="shared" si="9"/>
        <v>-160.0390102850175</v>
      </c>
      <c r="L69" s="103">
        <f t="shared" si="10"/>
        <v>13.591693133200216</v>
      </c>
    </row>
    <row r="70" spans="1:12">
      <c r="A70">
        <v>57</v>
      </c>
      <c r="B70" s="118">
        <f t="shared" si="1"/>
        <v>-61.817132308943378</v>
      </c>
      <c r="C70" s="118">
        <f t="shared" si="2"/>
        <v>-2.6106446431929261E-3</v>
      </c>
      <c r="D70" s="74">
        <f t="shared" si="3"/>
        <v>3.0169592966318528E-3</v>
      </c>
      <c r="E70" s="74">
        <f t="shared" si="4"/>
        <v>8.7022377066112069E-3</v>
      </c>
      <c r="F70" s="118">
        <f t="shared" si="5"/>
        <v>-1.2370154747962771E-3</v>
      </c>
      <c r="G70" s="118">
        <f t="shared" si="6"/>
        <v>3.0169592966318528E-3</v>
      </c>
      <c r="H70" s="103">
        <f t="shared" si="0"/>
        <v>0.17285903465976257</v>
      </c>
      <c r="I70" s="103">
        <f t="shared" si="7"/>
        <v>-464.69474648834085</v>
      </c>
      <c r="J70" s="103">
        <f t="shared" si="8"/>
        <v>647.22827790643134</v>
      </c>
      <c r="K70" s="103">
        <f t="shared" si="9"/>
        <v>-134.44957256714315</v>
      </c>
      <c r="L70" s="103">
        <f t="shared" si="10"/>
        <v>7.9787498124359875</v>
      </c>
    </row>
    <row r="71" spans="1:12">
      <c r="A71">
        <v>58</v>
      </c>
      <c r="B71" s="118">
        <f t="shared" si="1"/>
        <v>-56.062708663383326</v>
      </c>
      <c r="C71" s="118">
        <f t="shared" si="2"/>
        <v>-2.4450360993938207E-3</v>
      </c>
      <c r="D71" s="74">
        <f t="shared" si="3"/>
        <v>2.7724556866924707E-3</v>
      </c>
      <c r="E71" s="74">
        <f t="shared" si="4"/>
        <v>7.2546503703115797E-3</v>
      </c>
      <c r="F71" s="118">
        <f t="shared" si="5"/>
        <v>-5.1155043776511912E-4</v>
      </c>
      <c r="G71" s="118">
        <f t="shared" si="6"/>
        <v>2.7724556866924707E-3</v>
      </c>
      <c r="H71" s="103">
        <f t="shared" si="0"/>
        <v>0.15885000973452304</v>
      </c>
      <c r="I71" s="103">
        <f t="shared" si="7"/>
        <v>-435.21642569210007</v>
      </c>
      <c r="J71" s="103">
        <f t="shared" si="8"/>
        <v>594.77491846613577</v>
      </c>
      <c r="K71" s="103">
        <f t="shared" si="9"/>
        <v>-112.0843482213139</v>
      </c>
      <c r="L71" s="103">
        <f t="shared" si="10"/>
        <v>3.2995003235850184</v>
      </c>
    </row>
    <row r="72" spans="1:12">
      <c r="A72">
        <v>59</v>
      </c>
      <c r="B72" s="118">
        <f t="shared" si="1"/>
        <v>-50.773644876306818</v>
      </c>
      <c r="C72" s="118">
        <f t="shared" si="2"/>
        <v>-2.2847114923935574E-3</v>
      </c>
      <c r="D72" s="74">
        <f t="shared" si="3"/>
        <v>2.543984537453115E-3</v>
      </c>
      <c r="E72" s="74">
        <f t="shared" si="4"/>
        <v>5.9932626888605693E-3</v>
      </c>
      <c r="F72" s="118">
        <f t="shared" si="5"/>
        <v>8.7775831120937811E-5</v>
      </c>
      <c r="G72" s="118">
        <f t="shared" si="6"/>
        <v>2.543984537453115E-3</v>
      </c>
      <c r="H72" s="103">
        <f t="shared" si="0"/>
        <v>0.1457595771426044</v>
      </c>
      <c r="I72" s="103">
        <f t="shared" si="7"/>
        <v>-406.67864564605321</v>
      </c>
      <c r="J72" s="103">
        <f t="shared" si="8"/>
        <v>545.76100281981678</v>
      </c>
      <c r="K72" s="103">
        <f t="shared" si="9"/>
        <v>-92.595908542895799</v>
      </c>
      <c r="L72" s="103">
        <f t="shared" si="10"/>
        <v>-0.56615411073004884</v>
      </c>
    </row>
    <row r="73" spans="1:12">
      <c r="A73">
        <v>60</v>
      </c>
      <c r="B73" s="118">
        <f t="shared" si="1"/>
        <v>-45.920294520137723</v>
      </c>
      <c r="C73" s="118">
        <f t="shared" si="2"/>
        <v>-2.1302916190360571E-3</v>
      </c>
      <c r="D73" s="74">
        <f t="shared" si="3"/>
        <v>2.3309553755495095E-3</v>
      </c>
      <c r="E73" s="74">
        <f t="shared" si="4"/>
        <v>4.8976663001710618E-3</v>
      </c>
      <c r="F73" s="118">
        <f t="shared" si="5"/>
        <v>5.7754246113804399E-4</v>
      </c>
      <c r="G73" s="118">
        <f t="shared" si="6"/>
        <v>2.3309553755495095E-3</v>
      </c>
      <c r="H73" s="103">
        <f t="shared" si="0"/>
        <v>0.13355390525231869</v>
      </c>
      <c r="I73" s="103">
        <f t="shared" si="7"/>
        <v>-379.19190818841815</v>
      </c>
      <c r="J73" s="103">
        <f t="shared" si="8"/>
        <v>500.05985671663626</v>
      </c>
      <c r="K73" s="103">
        <f t="shared" si="9"/>
        <v>-75.668944337642898</v>
      </c>
      <c r="L73" s="103">
        <f t="shared" si="10"/>
        <v>-3.7251488743403836</v>
      </c>
    </row>
    <row r="74" spans="1:12">
      <c r="A74">
        <v>61</v>
      </c>
      <c r="B74" s="118">
        <f t="shared" si="1"/>
        <v>-41.473855316234825</v>
      </c>
      <c r="C74" s="118">
        <f t="shared" si="2"/>
        <v>-1.9822361348436342E-3</v>
      </c>
      <c r="D74" s="74">
        <f t="shared" si="3"/>
        <v>2.1327317620651459E-3</v>
      </c>
      <c r="E74" s="74">
        <f t="shared" si="4"/>
        <v>3.9493784116452976E-3</v>
      </c>
      <c r="F74" s="118">
        <f t="shared" si="5"/>
        <v>9.7248030230257377E-4</v>
      </c>
      <c r="G74" s="118">
        <f t="shared" si="6"/>
        <v>2.1327317620651459E-3</v>
      </c>
      <c r="H74" s="103">
        <f t="shared" si="0"/>
        <v>0.12219652879983216</v>
      </c>
      <c r="I74" s="103">
        <f t="shared" si="7"/>
        <v>-352.83803200216687</v>
      </c>
      <c r="J74" s="103">
        <f t="shared" si="8"/>
        <v>457.53494491583575</v>
      </c>
      <c r="K74" s="103">
        <f t="shared" si="9"/>
        <v>-61.017896459919847</v>
      </c>
      <c r="L74" s="103">
        <f t="shared" si="10"/>
        <v>-6.2724979498516005</v>
      </c>
    </row>
    <row r="75" spans="1:12">
      <c r="A75">
        <v>62</v>
      </c>
      <c r="B75" s="118">
        <f t="shared" si="1"/>
        <v>-37.406518503897438</v>
      </c>
      <c r="C75" s="118">
        <f t="shared" si="2"/>
        <v>-1.8408660030936712E-3</v>
      </c>
      <c r="D75" s="74">
        <f t="shared" si="3"/>
        <v>1.9486451617557788E-3</v>
      </c>
      <c r="E75" s="74">
        <f t="shared" si="4"/>
        <v>3.1316943038892219E-3</v>
      </c>
      <c r="F75" s="118">
        <f t="shared" si="5"/>
        <v>1.2856497326914961E-3</v>
      </c>
      <c r="G75" s="118">
        <f t="shared" si="6"/>
        <v>1.9486451617557788E-3</v>
      </c>
      <c r="H75" s="103">
        <f t="shared" si="0"/>
        <v>0.11164914353719375</v>
      </c>
      <c r="I75" s="103">
        <f t="shared" si="7"/>
        <v>-327.67414855067346</v>
      </c>
      <c r="J75" s="103">
        <f t="shared" si="8"/>
        <v>418.04284655146722</v>
      </c>
      <c r="K75" s="103">
        <f t="shared" si="9"/>
        <v>-48.384676995088476</v>
      </c>
      <c r="L75" s="103">
        <f t="shared" si="10"/>
        <v>-8.2924407758601504</v>
      </c>
    </row>
    <row r="76" spans="1:12">
      <c r="A76">
        <v>63</v>
      </c>
      <c r="B76" s="118">
        <f t="shared" si="1"/>
        <v>-33.69158022984513</v>
      </c>
      <c r="C76" s="118">
        <f t="shared" si="2"/>
        <v>-1.7063836313992822E-3</v>
      </c>
      <c r="D76" s="74">
        <f t="shared" si="3"/>
        <v>1.7780067986158507E-3</v>
      </c>
      <c r="E76" s="74">
        <f t="shared" si="4"/>
        <v>2.4295464788284841E-3</v>
      </c>
      <c r="F76" s="118">
        <f t="shared" si="5"/>
        <v>1.5286043805743444E-3</v>
      </c>
      <c r="G76" s="118">
        <f t="shared" si="6"/>
        <v>1.7780067986158507E-3</v>
      </c>
      <c r="H76" s="103">
        <f t="shared" si="0"/>
        <v>0.10187228550625516</v>
      </c>
      <c r="I76" s="103">
        <f t="shared" si="7"/>
        <v>-303.73628638907223</v>
      </c>
      <c r="J76" s="103">
        <f t="shared" si="8"/>
        <v>381.43579850705845</v>
      </c>
      <c r="K76" s="103">
        <f t="shared" si="9"/>
        <v>-37.536493097900077</v>
      </c>
      <c r="L76" s="103">
        <f t="shared" si="10"/>
        <v>-9.8594982547045209</v>
      </c>
    </row>
    <row r="77" spans="1:12">
      <c r="A77">
        <v>64</v>
      </c>
      <c r="B77" s="118">
        <f t="shared" si="1"/>
        <v>-30.30352076538162</v>
      </c>
      <c r="C77" s="118">
        <f t="shared" si="2"/>
        <v>-1.5788908556377795E-3</v>
      </c>
      <c r="D77" s="74">
        <f t="shared" si="3"/>
        <v>1.6201177130520728E-3</v>
      </c>
      <c r="E77" s="74">
        <f t="shared" si="4"/>
        <v>1.8293709718684307E-3</v>
      </c>
      <c r="F77" s="118">
        <f t="shared" si="5"/>
        <v>1.7115414777611874E-3</v>
      </c>
      <c r="G77" s="118">
        <f t="shared" si="6"/>
        <v>1.6201177130520728E-3</v>
      </c>
      <c r="H77" s="103">
        <f t="shared" ref="H77:H140" si="11">D77*360/(2*PI())</f>
        <v>9.2825907272270747E-2</v>
      </c>
      <c r="I77" s="103">
        <f t="shared" ref="I77:I140" si="12">C77*$V$5</f>
        <v>-281.04257230352476</v>
      </c>
      <c r="J77" s="103">
        <f t="shared" ref="J77:J140" si="13">D77*$V$4</f>
        <v>347.56385298106119</v>
      </c>
      <c r="K77" s="103">
        <f t="shared" ref="K77:K140" si="14">E77*$V$3</f>
        <v>-28.263781515367253</v>
      </c>
      <c r="L77" s="103">
        <f t="shared" ref="L77:L140" si="15">F77*$V$2</f>
        <v>-11.03944253155966</v>
      </c>
    </row>
    <row r="78" spans="1:12">
      <c r="A78">
        <v>65</v>
      </c>
      <c r="B78" s="118">
        <f t="shared" ref="B78:B141" si="16">-(I77+J77+K77+L77)</f>
        <v>-27.21805663060951</v>
      </c>
      <c r="C78" s="118">
        <f t="shared" ref="C78:C141" si="17">$N$8*($G$4*$B$5*D77+C77+$K$4*$B$5*B78)</f>
        <v>-1.4584049323268394E-3</v>
      </c>
      <c r="D78" s="74">
        <f t="shared" ref="D78:D141" si="18">$B$5*C78+D77</f>
        <v>1.4742772198193888E-3</v>
      </c>
      <c r="E78" s="74">
        <f t="shared" ref="E78:E141" si="19">E77+$B$5*$G$2*D78+$B$5*$K$2*B78</f>
        <v>1.3189811385365623E-3</v>
      </c>
      <c r="F78" s="118">
        <f t="shared" ref="F78:F141" si="20">$B$5*E78+F77</f>
        <v>1.8434395916148436E-3</v>
      </c>
      <c r="G78" s="118">
        <f t="shared" ref="G78:G141" si="21">$E$6*F78+$G$6*D78</f>
        <v>1.4742772198193888E-3</v>
      </c>
      <c r="H78" s="103">
        <f t="shared" si="11"/>
        <v>8.4469862527931691E-2</v>
      </c>
      <c r="I78" s="103">
        <f t="shared" si="12"/>
        <v>-259.59607795417742</v>
      </c>
      <c r="J78" s="103">
        <f t="shared" si="13"/>
        <v>316.27669196785348</v>
      </c>
      <c r="K78" s="103">
        <f t="shared" si="14"/>
        <v>-20.378258590389887</v>
      </c>
      <c r="L78" s="103">
        <f t="shared" si="15"/>
        <v>-11.890185365915741</v>
      </c>
    </row>
    <row r="79" spans="1:12">
      <c r="A79">
        <v>66</v>
      </c>
      <c r="B79" s="118">
        <f t="shared" si="16"/>
        <v>-24.412170057370432</v>
      </c>
      <c r="C79" s="118">
        <f t="shared" si="17"/>
        <v>-1.3448726986842951E-3</v>
      </c>
      <c r="D79" s="74">
        <f t="shared" si="18"/>
        <v>1.3397899499509593E-3</v>
      </c>
      <c r="E79" s="74">
        <f t="shared" si="19"/>
        <v>8.8744905772595835E-4</v>
      </c>
      <c r="F79" s="118">
        <f t="shared" si="20"/>
        <v>1.9321844973874394E-3</v>
      </c>
      <c r="G79" s="118">
        <f t="shared" si="21"/>
        <v>1.3397899499509593E-3</v>
      </c>
      <c r="H79" s="103">
        <f t="shared" si="11"/>
        <v>7.6764309566233757E-2</v>
      </c>
      <c r="I79" s="103">
        <f t="shared" si="12"/>
        <v>-239.38734036580453</v>
      </c>
      <c r="J79" s="103">
        <f t="shared" si="13"/>
        <v>287.42513796297931</v>
      </c>
      <c r="K79" s="103">
        <f t="shared" si="14"/>
        <v>-13.711087941866056</v>
      </c>
      <c r="L79" s="103">
        <f t="shared" si="15"/>
        <v>-12.462590008148984</v>
      </c>
    </row>
    <row r="80" spans="1:12">
      <c r="A80">
        <v>67</v>
      </c>
      <c r="B80" s="118">
        <f t="shared" si="16"/>
        <v>-21.864119647159733</v>
      </c>
      <c r="C80" s="118">
        <f t="shared" si="17"/>
        <v>-1.2381830553952174E-3</v>
      </c>
      <c r="D80" s="74">
        <f t="shared" si="18"/>
        <v>1.2159716444114376E-3</v>
      </c>
      <c r="E80" s="74">
        <f t="shared" si="19"/>
        <v>5.2499455962714105E-4</v>
      </c>
      <c r="F80" s="118">
        <f t="shared" si="20"/>
        <v>1.9846839533501533E-3</v>
      </c>
      <c r="G80" s="118">
        <f t="shared" si="21"/>
        <v>1.2159716444114376E-3</v>
      </c>
      <c r="H80" s="103">
        <f t="shared" si="11"/>
        <v>6.967004323235787E-2</v>
      </c>
      <c r="I80" s="103">
        <f t="shared" si="12"/>
        <v>-220.3965838603487</v>
      </c>
      <c r="J80" s="103">
        <f t="shared" si="13"/>
        <v>260.86239687558572</v>
      </c>
      <c r="K80" s="103">
        <f t="shared" si="14"/>
        <v>-8.1111659462393284</v>
      </c>
      <c r="L80" s="103">
        <f t="shared" si="15"/>
        <v>-12.801211499108488</v>
      </c>
    </row>
    <row r="81" spans="1:12">
      <c r="A81">
        <v>68</v>
      </c>
      <c r="B81" s="118">
        <f t="shared" si="16"/>
        <v>-19.553435569889203</v>
      </c>
      <c r="C81" s="118">
        <f t="shared" si="17"/>
        <v>-1.1381779211770407E-3</v>
      </c>
      <c r="D81" s="74">
        <f t="shared" si="18"/>
        <v>1.1021538522937334E-3</v>
      </c>
      <c r="E81" s="74">
        <f t="shared" si="19"/>
        <v>2.2288178107882084E-4</v>
      </c>
      <c r="F81" s="118">
        <f t="shared" si="20"/>
        <v>2.0069721314580355E-3</v>
      </c>
      <c r="G81" s="118">
        <f t="shared" si="21"/>
        <v>1.1021538522937334E-3</v>
      </c>
      <c r="H81" s="103">
        <f t="shared" si="11"/>
        <v>6.3148764110516051E-2</v>
      </c>
      <c r="I81" s="103">
        <f t="shared" si="12"/>
        <v>-202.59566996951324</v>
      </c>
      <c r="J81" s="103">
        <f t="shared" si="13"/>
        <v>236.44506593257464</v>
      </c>
      <c r="K81" s="103">
        <f t="shared" si="14"/>
        <v>-3.4435235176677819</v>
      </c>
      <c r="L81" s="103">
        <f t="shared" si="15"/>
        <v>-12.94497024790433</v>
      </c>
    </row>
    <row r="82" spans="1:12">
      <c r="A82">
        <v>69</v>
      </c>
      <c r="B82" s="118">
        <f t="shared" si="16"/>
        <v>-17.460902197489286</v>
      </c>
      <c r="C82" s="118">
        <f t="shared" si="17"/>
        <v>-1.0446618010878604E-3</v>
      </c>
      <c r="D82" s="74">
        <f t="shared" si="18"/>
        <v>9.9768767218494738E-4</v>
      </c>
      <c r="E82" s="74">
        <f t="shared" si="19"/>
        <v>-2.6676930392686721E-5</v>
      </c>
      <c r="F82" s="118">
        <f t="shared" si="20"/>
        <v>2.0043044384187667E-3</v>
      </c>
      <c r="G82" s="118">
        <f t="shared" si="21"/>
        <v>9.9768767218494738E-4</v>
      </c>
      <c r="H82" s="103">
        <f t="shared" si="11"/>
        <v>5.7163292888429099E-2</v>
      </c>
      <c r="I82" s="103">
        <f t="shared" si="12"/>
        <v>-185.94980059363917</v>
      </c>
      <c r="J82" s="103">
        <f t="shared" si="13"/>
        <v>214.03393631383676</v>
      </c>
      <c r="K82" s="103">
        <f t="shared" si="14"/>
        <v>0.41215857456700983</v>
      </c>
      <c r="L82" s="103">
        <f t="shared" si="15"/>
        <v>-12.927763627801045</v>
      </c>
    </row>
    <row r="83" spans="1:12">
      <c r="A83">
        <v>70</v>
      </c>
      <c r="B83" s="118">
        <f t="shared" si="16"/>
        <v>-15.568530666963557</v>
      </c>
      <c r="C83" s="118">
        <f t="shared" si="17"/>
        <v>-9.5741010257249944E-4</v>
      </c>
      <c r="D83" s="74">
        <f t="shared" si="18"/>
        <v>9.0194666192769737E-4</v>
      </c>
      <c r="E83" s="74">
        <f t="shared" si="19"/>
        <v>-2.3061000419749653E-4</v>
      </c>
      <c r="F83" s="118">
        <f t="shared" si="20"/>
        <v>1.981243437999017E-3</v>
      </c>
      <c r="G83" s="118">
        <f t="shared" si="21"/>
        <v>9.0194666192769737E-4</v>
      </c>
      <c r="H83" s="103">
        <f t="shared" si="11"/>
        <v>5.1677737074369949E-2</v>
      </c>
      <c r="I83" s="103">
        <f t="shared" si="12"/>
        <v>-170.41899825790489</v>
      </c>
      <c r="J83" s="103">
        <f t="shared" si="13"/>
        <v>193.49461738334892</v>
      </c>
      <c r="K83" s="103">
        <f t="shared" si="14"/>
        <v>3.5629245648513215</v>
      </c>
      <c r="L83" s="103">
        <f t="shared" si="15"/>
        <v>-12.77902017509366</v>
      </c>
    </row>
    <row r="84" spans="1:12">
      <c r="A84">
        <v>71</v>
      </c>
      <c r="B84" s="118">
        <f t="shared" si="16"/>
        <v>-13.859523515201698</v>
      </c>
      <c r="C84" s="118">
        <f t="shared" si="17"/>
        <v>-8.7617632481044156E-4</v>
      </c>
      <c r="D84" s="74">
        <f t="shared" si="18"/>
        <v>8.1432902944665315E-4</v>
      </c>
      <c r="E84" s="74">
        <f t="shared" si="19"/>
        <v>-3.9506881154768663E-4</v>
      </c>
      <c r="F84" s="118">
        <f t="shared" si="20"/>
        <v>1.9417365568442483E-3</v>
      </c>
      <c r="G84" s="118">
        <f t="shared" si="21"/>
        <v>8.1432902944665315E-4</v>
      </c>
      <c r="H84" s="103">
        <f t="shared" si="11"/>
        <v>4.6657616522277762E-2</v>
      </c>
      <c r="I84" s="103">
        <f t="shared" si="12"/>
        <v>-155.95938581625859</v>
      </c>
      <c r="J84" s="103">
        <f t="shared" si="13"/>
        <v>174.69800668719051</v>
      </c>
      <c r="K84" s="103">
        <f t="shared" si="14"/>
        <v>6.1038131384117582</v>
      </c>
      <c r="L84" s="103">
        <f t="shared" si="15"/>
        <v>-12.524200791645402</v>
      </c>
    </row>
    <row r="85" spans="1:12">
      <c r="A85">
        <v>72</v>
      </c>
      <c r="B85" s="118">
        <f t="shared" si="16"/>
        <v>-12.318233217698282</v>
      </c>
      <c r="C85" s="118">
        <f t="shared" si="17"/>
        <v>-8.0069823827570675E-4</v>
      </c>
      <c r="D85" s="74">
        <f t="shared" si="18"/>
        <v>7.3425920561908243E-4</v>
      </c>
      <c r="E85" s="74">
        <f t="shared" si="19"/>
        <v>-5.2550332488889126E-4</v>
      </c>
      <c r="F85" s="118">
        <f t="shared" si="20"/>
        <v>1.8891862243553591E-3</v>
      </c>
      <c r="G85" s="118">
        <f t="shared" si="21"/>
        <v>7.3425920561908243E-4</v>
      </c>
      <c r="H85" s="103">
        <f t="shared" si="11"/>
        <v>4.2069953550601925E-2</v>
      </c>
      <c r="I85" s="103">
        <f t="shared" si="12"/>
        <v>-142.5242864130758</v>
      </c>
      <c r="J85" s="103">
        <f t="shared" si="13"/>
        <v>157.52062738146176</v>
      </c>
      <c r="K85" s="103">
        <f t="shared" si="14"/>
        <v>8.1190263695333709</v>
      </c>
      <c r="L85" s="103">
        <f t="shared" si="15"/>
        <v>-12.185251147092066</v>
      </c>
    </row>
    <row r="86" spans="1:12">
      <c r="A86">
        <v>73</v>
      </c>
      <c r="B86" s="118">
        <f t="shared" si="16"/>
        <v>-10.930116190827272</v>
      </c>
      <c r="C86" s="118">
        <f t="shared" si="17"/>
        <v>-7.3070316274073232E-4</v>
      </c>
      <c r="D86" s="74">
        <f t="shared" si="18"/>
        <v>6.6118888934500915E-4</v>
      </c>
      <c r="E86" s="74">
        <f t="shared" si="19"/>
        <v>-6.2673160995410475E-4</v>
      </c>
      <c r="F86" s="118">
        <f t="shared" si="20"/>
        <v>1.8265130633599487E-3</v>
      </c>
      <c r="G86" s="118">
        <f t="shared" si="21"/>
        <v>6.6118888934500915E-4</v>
      </c>
      <c r="H86" s="103">
        <f t="shared" si="11"/>
        <v>3.7883332820411425E-2</v>
      </c>
      <c r="I86" s="103">
        <f t="shared" si="12"/>
        <v>-130.06516296785034</v>
      </c>
      <c r="J86" s="103">
        <f t="shared" si="13"/>
        <v>141.84485243118482</v>
      </c>
      <c r="K86" s="103">
        <f t="shared" si="14"/>
        <v>9.6830033737909176</v>
      </c>
      <c r="L86" s="103">
        <f t="shared" si="15"/>
        <v>-11.781009258671668</v>
      </c>
    </row>
    <row r="87" spans="1:12">
      <c r="A87">
        <v>74</v>
      </c>
      <c r="B87" s="118">
        <f t="shared" si="16"/>
        <v>-9.6816835784537272</v>
      </c>
      <c r="C87" s="118">
        <f t="shared" si="17"/>
        <v>-6.6591244340757525E-4</v>
      </c>
      <c r="D87" s="74">
        <f t="shared" si="18"/>
        <v>5.945976450042516E-4</v>
      </c>
      <c r="E87" s="74">
        <f t="shared" si="19"/>
        <v>-7.0300350029310003E-4</v>
      </c>
      <c r="F87" s="118">
        <f t="shared" si="20"/>
        <v>1.7562127133306387E-3</v>
      </c>
      <c r="G87" s="118">
        <f t="shared" si="21"/>
        <v>5.945976450042516E-4</v>
      </c>
      <c r="H87" s="103">
        <f t="shared" si="11"/>
        <v>3.4067935567161596E-2</v>
      </c>
      <c r="I87" s="103">
        <f t="shared" si="12"/>
        <v>-118.5324149265484</v>
      </c>
      <c r="J87" s="103">
        <f t="shared" si="13"/>
        <v>127.5590327827621</v>
      </c>
      <c r="K87" s="103">
        <f t="shared" si="14"/>
        <v>10.861404079528395</v>
      </c>
      <c r="L87" s="103">
        <f t="shared" si="15"/>
        <v>-11.32757200098262</v>
      </c>
    </row>
    <row r="88" spans="1:12">
      <c r="A88">
        <v>75</v>
      </c>
      <c r="B88" s="118">
        <f t="shared" si="16"/>
        <v>-8.5604499347594789</v>
      </c>
      <c r="C88" s="118">
        <f t="shared" si="17"/>
        <v>-6.0604521654528012E-4</v>
      </c>
      <c r="D88" s="74">
        <f t="shared" si="18"/>
        <v>5.3399312334972363E-4</v>
      </c>
      <c r="E88" s="74">
        <f t="shared" si="19"/>
        <v>-7.580588087444625E-4</v>
      </c>
      <c r="F88" s="118">
        <f t="shared" si="20"/>
        <v>1.6804068324561925E-3</v>
      </c>
      <c r="G88" s="118">
        <f t="shared" si="21"/>
        <v>5.3399312334972363E-4</v>
      </c>
      <c r="H88" s="103">
        <f t="shared" si="11"/>
        <v>3.0595552256947937E-2</v>
      </c>
      <c r="I88" s="103">
        <f t="shared" si="12"/>
        <v>-107.87604854505986</v>
      </c>
      <c r="J88" s="103">
        <f t="shared" si="13"/>
        <v>114.55754475221622</v>
      </c>
      <c r="K88" s="103">
        <f t="shared" si="14"/>
        <v>11.712008595101945</v>
      </c>
      <c r="L88" s="103">
        <f t="shared" si="15"/>
        <v>-10.838624069342442</v>
      </c>
    </row>
    <row r="89" spans="1:12">
      <c r="A89">
        <v>76</v>
      </c>
      <c r="B89" s="118">
        <f t="shared" si="16"/>
        <v>-7.5548807329158603</v>
      </c>
      <c r="C89" s="118">
        <f t="shared" si="17"/>
        <v>-5.5082154803606689E-4</v>
      </c>
      <c r="D89" s="74">
        <f t="shared" si="18"/>
        <v>4.7891096854611693E-4</v>
      </c>
      <c r="E89" s="74">
        <f t="shared" si="19"/>
        <v>-7.9518042921687313E-4</v>
      </c>
      <c r="F89" s="118">
        <f t="shared" si="20"/>
        <v>1.6008887895345052E-3</v>
      </c>
      <c r="G89" s="118">
        <f t="shared" si="21"/>
        <v>4.7891096854611693E-4</v>
      </c>
      <c r="H89" s="103">
        <f t="shared" si="11"/>
        <v>2.7439577260215019E-2</v>
      </c>
      <c r="I89" s="103">
        <f t="shared" si="12"/>
        <v>-98.046235550419908</v>
      </c>
      <c r="J89" s="103">
        <f t="shared" si="13"/>
        <v>102.74077008219847</v>
      </c>
      <c r="K89" s="103">
        <f t="shared" si="14"/>
        <v>12.28553763140069</v>
      </c>
      <c r="L89" s="103">
        <f t="shared" si="15"/>
        <v>-10.325732692497558</v>
      </c>
    </row>
    <row r="90" spans="1:12">
      <c r="A90">
        <v>77</v>
      </c>
      <c r="B90" s="118">
        <f t="shared" si="16"/>
        <v>-6.6543394706816894</v>
      </c>
      <c r="C90" s="118">
        <f t="shared" si="17"/>
        <v>-4.9996502064405309E-4</v>
      </c>
      <c r="D90" s="74">
        <f t="shared" si="18"/>
        <v>4.2891446648171162E-4</v>
      </c>
      <c r="E90" s="74">
        <f t="shared" si="19"/>
        <v>-8.172426765624747E-4</v>
      </c>
      <c r="F90" s="118">
        <f t="shared" si="20"/>
        <v>1.5191645218782578E-3</v>
      </c>
      <c r="G90" s="118">
        <f t="shared" si="21"/>
        <v>4.2891446648171162E-4</v>
      </c>
      <c r="H90" s="103">
        <f t="shared" si="11"/>
        <v>2.4574988701507487E-2</v>
      </c>
      <c r="I90" s="103">
        <f t="shared" si="12"/>
        <v>-88.993773674641446</v>
      </c>
      <c r="J90" s="103">
        <f t="shared" si="13"/>
        <v>92.01502049432159</v>
      </c>
      <c r="K90" s="103">
        <f t="shared" si="14"/>
        <v>12.626399352890234</v>
      </c>
      <c r="L90" s="103">
        <f t="shared" si="15"/>
        <v>-9.7986111661147621</v>
      </c>
    </row>
    <row r="91" spans="1:12">
      <c r="A91">
        <v>78</v>
      </c>
      <c r="B91" s="118">
        <f t="shared" si="16"/>
        <v>-5.8490350064556154</v>
      </c>
      <c r="C91" s="118">
        <f t="shared" si="17"/>
        <v>-4.5320483865725255E-4</v>
      </c>
      <c r="D91" s="74">
        <f t="shared" si="18"/>
        <v>3.8359398261598635E-4</v>
      </c>
      <c r="E91" s="74">
        <f t="shared" si="19"/>
        <v>-8.2675520328405678E-4</v>
      </c>
      <c r="F91" s="118">
        <f t="shared" si="20"/>
        <v>1.436489001549852E-3</v>
      </c>
      <c r="G91" s="118">
        <f t="shared" si="21"/>
        <v>3.8359398261598635E-4</v>
      </c>
      <c r="H91" s="103">
        <f t="shared" si="11"/>
        <v>2.1978316250510686E-2</v>
      </c>
      <c r="I91" s="103">
        <f t="shared" si="12"/>
        <v>-80.670461280990949</v>
      </c>
      <c r="J91" s="103">
        <f t="shared" si="13"/>
        <v>82.292417090607557</v>
      </c>
      <c r="K91" s="103">
        <f t="shared" si="14"/>
        <v>12.773367890738678</v>
      </c>
      <c r="L91" s="103">
        <f t="shared" si="15"/>
        <v>-9.2653540599965449</v>
      </c>
    </row>
    <row r="92" spans="1:12">
      <c r="A92">
        <v>79</v>
      </c>
      <c r="B92" s="118">
        <f t="shared" si="16"/>
        <v>-5.1299696403587411</v>
      </c>
      <c r="C92" s="118">
        <f t="shared" si="17"/>
        <v>-4.1027751183921653E-4</v>
      </c>
      <c r="D92" s="74">
        <f t="shared" si="18"/>
        <v>3.4256623143206469E-4</v>
      </c>
      <c r="E92" s="74">
        <f t="shared" si="19"/>
        <v>-8.2590282017183398E-4</v>
      </c>
      <c r="F92" s="118">
        <f t="shared" si="20"/>
        <v>1.3538987195326686E-3</v>
      </c>
      <c r="G92" s="118">
        <f t="shared" si="21"/>
        <v>3.4256623143206469E-4</v>
      </c>
      <c r="H92" s="103">
        <f t="shared" si="11"/>
        <v>1.962759926475911E-2</v>
      </c>
      <c r="I92" s="103">
        <f t="shared" si="12"/>
        <v>-73.029397107380547</v>
      </c>
      <c r="J92" s="103">
        <f t="shared" si="13"/>
        <v>73.49073362912084</v>
      </c>
      <c r="K92" s="103">
        <f t="shared" si="14"/>
        <v>12.760198571654835</v>
      </c>
      <c r="L92" s="103">
        <f t="shared" si="15"/>
        <v>-8.7326467409857127</v>
      </c>
    </row>
    <row r="93" spans="1:12">
      <c r="A93">
        <v>80</v>
      </c>
      <c r="B93" s="118">
        <f t="shared" si="16"/>
        <v>-4.4888883524094148</v>
      </c>
      <c r="C93" s="118">
        <f t="shared" si="17"/>
        <v>-3.7092817437090478E-4</v>
      </c>
      <c r="D93" s="74">
        <f t="shared" si="18"/>
        <v>3.0547341399497421E-4</v>
      </c>
      <c r="E93" s="74">
        <f t="shared" si="19"/>
        <v>-8.1658153442031424E-4</v>
      </c>
      <c r="F93" s="118">
        <f t="shared" si="20"/>
        <v>1.272240566090637E-3</v>
      </c>
      <c r="G93" s="118">
        <f t="shared" si="21"/>
        <v>3.0547341399497421E-4</v>
      </c>
      <c r="H93" s="103">
        <f t="shared" si="11"/>
        <v>1.7502337375364559E-2</v>
      </c>
      <c r="I93" s="103">
        <f t="shared" si="12"/>
        <v>-66.025215038021045</v>
      </c>
      <c r="J93" s="103">
        <f t="shared" si="13"/>
        <v>65.533211504341821</v>
      </c>
      <c r="K93" s="103">
        <f t="shared" si="14"/>
        <v>12.616184706793854</v>
      </c>
      <c r="L93" s="103">
        <f t="shared" si="15"/>
        <v>-8.2059516512846091</v>
      </c>
    </row>
    <row r="94" spans="1:12">
      <c r="A94">
        <v>81</v>
      </c>
      <c r="B94" s="118">
        <f t="shared" si="16"/>
        <v>-3.9182295218300212</v>
      </c>
      <c r="C94" s="118">
        <f t="shared" si="17"/>
        <v>-3.3491158866616835E-4</v>
      </c>
      <c r="D94" s="74">
        <f t="shared" si="18"/>
        <v>2.7198225512835739E-4</v>
      </c>
      <c r="E94" s="74">
        <f t="shared" si="19"/>
        <v>-8.0043110391078026E-4</v>
      </c>
      <c r="F94" s="118">
        <f t="shared" si="20"/>
        <v>1.1921974556995591E-3</v>
      </c>
      <c r="G94" s="118">
        <f t="shared" si="21"/>
        <v>2.7198225512835739E-4</v>
      </c>
      <c r="H94" s="103">
        <f t="shared" si="11"/>
        <v>1.5583435321305268E-2</v>
      </c>
      <c r="I94" s="103">
        <f t="shared" si="12"/>
        <v>-59.614262782577967</v>
      </c>
      <c r="J94" s="103">
        <f t="shared" si="13"/>
        <v>58.34835319268651</v>
      </c>
      <c r="K94" s="103">
        <f t="shared" si="14"/>
        <v>12.366660555421555</v>
      </c>
      <c r="L94" s="103">
        <f t="shared" si="15"/>
        <v>-7.6896735892621564</v>
      </c>
    </row>
    <row r="95" spans="1:12">
      <c r="A95">
        <v>82</v>
      </c>
      <c r="B95" s="118">
        <f t="shared" si="16"/>
        <v>-3.4110773762679418</v>
      </c>
      <c r="C95" s="118">
        <f t="shared" si="17"/>
        <v>-3.0199287859809641E-4</v>
      </c>
      <c r="D95" s="74">
        <f t="shared" si="18"/>
        <v>2.4178296726854774E-4</v>
      </c>
      <c r="E95" s="74">
        <f t="shared" si="19"/>
        <v>-7.7886439063475283E-4</v>
      </c>
      <c r="F95" s="118">
        <f t="shared" si="20"/>
        <v>1.1143110166360838E-3</v>
      </c>
      <c r="G95" s="118">
        <f t="shared" si="21"/>
        <v>2.4178296726854774E-4</v>
      </c>
      <c r="H95" s="103">
        <f t="shared" si="11"/>
        <v>1.3853143582637511E-2</v>
      </c>
      <c r="I95" s="103">
        <f t="shared" si="12"/>
        <v>-53.754732390461157</v>
      </c>
      <c r="J95" s="103">
        <f t="shared" si="13"/>
        <v>51.869699968121544</v>
      </c>
      <c r="K95" s="103">
        <f t="shared" si="14"/>
        <v>12.033454835306932</v>
      </c>
      <c r="L95" s="103">
        <f t="shared" si="15"/>
        <v>-7.1873060573027407</v>
      </c>
    </row>
    <row r="96" spans="1:12">
      <c r="A96">
        <v>83</v>
      </c>
      <c r="B96" s="118">
        <f t="shared" si="16"/>
        <v>-2.9611163556645783</v>
      </c>
      <c r="C96" s="118">
        <f t="shared" si="17"/>
        <v>-2.7194803176514319E-4</v>
      </c>
      <c r="D96" s="74">
        <f t="shared" si="18"/>
        <v>2.145881640920334E-4</v>
      </c>
      <c r="E96" s="74">
        <f t="shared" si="19"/>
        <v>-7.5309378006316059E-4</v>
      </c>
      <c r="F96" s="118">
        <f t="shared" si="20"/>
        <v>1.0390016386297677E-3</v>
      </c>
      <c r="G96" s="118">
        <f t="shared" si="21"/>
        <v>2.145881640920334E-4</v>
      </c>
      <c r="H96" s="103">
        <f t="shared" si="11"/>
        <v>1.2294996135934275E-2</v>
      </c>
      <c r="I96" s="103">
        <f t="shared" si="12"/>
        <v>-48.406749654195487</v>
      </c>
      <c r="J96" s="103">
        <f t="shared" si="13"/>
        <v>46.035598842663923</v>
      </c>
      <c r="K96" s="103">
        <f t="shared" si="14"/>
        <v>11.635298901975831</v>
      </c>
      <c r="L96" s="103">
        <f t="shared" si="15"/>
        <v>-6.7015605691620017</v>
      </c>
    </row>
    <row r="97" spans="1:12">
      <c r="A97">
        <v>84</v>
      </c>
      <c r="B97" s="118">
        <f t="shared" si="16"/>
        <v>-2.562587521282266</v>
      </c>
      <c r="C97" s="118">
        <f t="shared" si="17"/>
        <v>-2.4456420593797274E-4</v>
      </c>
      <c r="D97" s="74">
        <f t="shared" si="18"/>
        <v>1.9013174349823614E-4</v>
      </c>
      <c r="E97" s="74">
        <f t="shared" si="19"/>
        <v>-7.2415491694403293E-4</v>
      </c>
      <c r="F97" s="118">
        <f t="shared" si="20"/>
        <v>9.6658614693536434E-4</v>
      </c>
      <c r="G97" s="118">
        <f t="shared" si="21"/>
        <v>1.9013174349823614E-4</v>
      </c>
      <c r="H97" s="103">
        <f t="shared" si="11"/>
        <v>1.0893746453912861E-2</v>
      </c>
      <c r="I97" s="103">
        <f t="shared" si="12"/>
        <v>-43.532428656959148</v>
      </c>
      <c r="J97" s="103">
        <f t="shared" si="13"/>
        <v>40.788962932676597</v>
      </c>
      <c r="K97" s="103">
        <f t="shared" si="14"/>
        <v>11.188193466785309</v>
      </c>
      <c r="L97" s="103">
        <f t="shared" si="15"/>
        <v>-6.2344806477330996</v>
      </c>
    </row>
    <row r="98" spans="1:12">
      <c r="A98">
        <v>85</v>
      </c>
      <c r="B98" s="118">
        <f t="shared" si="16"/>
        <v>-2.2102470947696586</v>
      </c>
      <c r="C98" s="118">
        <f t="shared" si="17"/>
        <v>-2.196398707400203E-4</v>
      </c>
      <c r="D98" s="74">
        <f t="shared" si="18"/>
        <v>1.6816775642423411E-4</v>
      </c>
      <c r="E98" s="74">
        <f t="shared" si="19"/>
        <v>-6.9292799178464766E-4</v>
      </c>
      <c r="F98" s="118">
        <f t="shared" si="20"/>
        <v>8.9729334775689963E-4</v>
      </c>
      <c r="G98" s="118">
        <f t="shared" si="21"/>
        <v>1.6816775642423411E-4</v>
      </c>
      <c r="H98" s="103">
        <f t="shared" si="11"/>
        <v>9.6353026932926508E-3</v>
      </c>
      <c r="I98" s="103">
        <f t="shared" si="12"/>
        <v>-39.095896991723613</v>
      </c>
      <c r="J98" s="103">
        <f t="shared" si="13"/>
        <v>36.077028785690942</v>
      </c>
      <c r="K98" s="103">
        <f t="shared" si="14"/>
        <v>10.705737473072807</v>
      </c>
      <c r="L98" s="103">
        <f t="shared" si="15"/>
        <v>-5.7875420930320027</v>
      </c>
    </row>
    <row r="99" spans="1:12">
      <c r="A99">
        <v>86</v>
      </c>
      <c r="B99" s="118">
        <f t="shared" si="16"/>
        <v>-1.8993271740081328</v>
      </c>
      <c r="C99" s="118">
        <f t="shared" si="17"/>
        <v>-1.9698481190456651E-4</v>
      </c>
      <c r="D99" s="74">
        <f t="shared" si="18"/>
        <v>1.4846927523377745E-4</v>
      </c>
      <c r="E99" s="74">
        <f t="shared" si="19"/>
        <v>-6.6015679633479472E-4</v>
      </c>
      <c r="F99" s="118">
        <f t="shared" si="20"/>
        <v>8.3127766812342014E-4</v>
      </c>
      <c r="G99" s="118">
        <f t="shared" si="21"/>
        <v>1.4846927523377745E-4</v>
      </c>
      <c r="H99" s="103">
        <f t="shared" si="11"/>
        <v>8.5066628582616474E-3</v>
      </c>
      <c r="I99" s="103">
        <f t="shared" si="12"/>
        <v>-35.063296519012837</v>
      </c>
      <c r="J99" s="103">
        <f t="shared" si="13"/>
        <v>31.851113615902278</v>
      </c>
      <c r="K99" s="103">
        <f t="shared" si="14"/>
        <v>10.199422503372578</v>
      </c>
      <c r="L99" s="103">
        <f t="shared" si="15"/>
        <v>-5.3617409593960597</v>
      </c>
    </row>
    <row r="100" spans="1:12">
      <c r="A100">
        <v>87</v>
      </c>
      <c r="B100" s="118">
        <f t="shared" si="16"/>
        <v>-1.6254986408659589</v>
      </c>
      <c r="C100" s="118">
        <f t="shared" si="17"/>
        <v>-1.764200220953141E-4</v>
      </c>
      <c r="D100" s="74">
        <f t="shared" si="18"/>
        <v>1.3082727302424603E-4</v>
      </c>
      <c r="E100" s="74">
        <f t="shared" si="19"/>
        <v>-6.2646575088502157E-4</v>
      </c>
      <c r="F100" s="118">
        <f t="shared" si="20"/>
        <v>7.6863109303491797E-4</v>
      </c>
      <c r="G100" s="118">
        <f t="shared" si="21"/>
        <v>1.3082727302424603E-4</v>
      </c>
      <c r="H100" s="103">
        <f t="shared" si="11"/>
        <v>7.4958505894950232E-3</v>
      </c>
      <c r="I100" s="103">
        <f t="shared" si="12"/>
        <v>-31.402763932965911</v>
      </c>
      <c r="J100" s="103">
        <f t="shared" si="13"/>
        <v>28.066374881891502</v>
      </c>
      <c r="K100" s="103">
        <f t="shared" si="14"/>
        <v>9.6788958511735839</v>
      </c>
      <c r="L100" s="103">
        <f t="shared" si="15"/>
        <v>-4.9576705500752212</v>
      </c>
    </row>
    <row r="101" spans="1:12">
      <c r="A101">
        <v>88</v>
      </c>
      <c r="B101" s="118">
        <f t="shared" si="16"/>
        <v>-1.3848362500239535</v>
      </c>
      <c r="C101" s="118">
        <f t="shared" si="17"/>
        <v>-1.5777749925216685E-4</v>
      </c>
      <c r="D101" s="74">
        <f t="shared" si="18"/>
        <v>1.1504952309902935E-4</v>
      </c>
      <c r="E101" s="74">
        <f t="shared" si="19"/>
        <v>-5.9237509123887292E-4</v>
      </c>
      <c r="F101" s="118">
        <f t="shared" si="20"/>
        <v>7.0939358391103064E-4</v>
      </c>
      <c r="G101" s="118">
        <f t="shared" si="21"/>
        <v>1.1504952309902935E-4</v>
      </c>
      <c r="H101" s="103">
        <f t="shared" si="11"/>
        <v>6.5918521085672572E-3</v>
      </c>
      <c r="I101" s="103">
        <f t="shared" si="12"/>
        <v>-28.084394866885699</v>
      </c>
      <c r="J101" s="103">
        <f t="shared" si="13"/>
        <v>24.681574190434766</v>
      </c>
      <c r="K101" s="103">
        <f t="shared" si="14"/>
        <v>9.1521951596405859</v>
      </c>
      <c r="L101" s="103">
        <f t="shared" si="15"/>
        <v>-4.5755886162261472</v>
      </c>
    </row>
    <row r="102" spans="1:12">
      <c r="A102">
        <v>89</v>
      </c>
      <c r="B102" s="118">
        <f t="shared" si="16"/>
        <v>-1.173785866963506</v>
      </c>
      <c r="C102" s="118">
        <f t="shared" si="17"/>
        <v>-1.4089997070530479E-4</v>
      </c>
      <c r="D102" s="74">
        <f t="shared" si="18"/>
        <v>1.0095952602849887E-4</v>
      </c>
      <c r="E102" s="74">
        <f t="shared" si="19"/>
        <v>-5.5831438889247526E-4</v>
      </c>
      <c r="F102" s="118">
        <f t="shared" si="20"/>
        <v>6.535621450217831E-4</v>
      </c>
      <c r="G102" s="118">
        <f t="shared" si="21"/>
        <v>1.0095952602849887E-4</v>
      </c>
      <c r="H102" s="103">
        <f t="shared" si="11"/>
        <v>5.7845547430741672E-3</v>
      </c>
      <c r="I102" s="103">
        <f t="shared" si="12"/>
        <v>-25.080194785544251</v>
      </c>
      <c r="J102" s="103">
        <f t="shared" si="13"/>
        <v>21.658847118893863</v>
      </c>
      <c r="K102" s="103">
        <f t="shared" si="14"/>
        <v>8.6259573083887435</v>
      </c>
      <c r="L102" s="103">
        <f t="shared" si="15"/>
        <v>-4.2154758353905013</v>
      </c>
    </row>
    <row r="103" spans="1:12">
      <c r="A103">
        <v>90</v>
      </c>
      <c r="B103" s="118">
        <f t="shared" si="16"/>
        <v>-0.98913380634785497</v>
      </c>
      <c r="C103" s="118">
        <f t="shared" si="17"/>
        <v>-1.256405588652873E-4</v>
      </c>
      <c r="D103" s="74">
        <f t="shared" si="18"/>
        <v>8.8395470141970137E-5</v>
      </c>
      <c r="E103" s="74">
        <f t="shared" si="19"/>
        <v>-5.2463456431430552E-4</v>
      </c>
      <c r="F103" s="118">
        <f t="shared" si="20"/>
        <v>6.0109868859035259E-4</v>
      </c>
      <c r="G103" s="118">
        <f t="shared" si="21"/>
        <v>8.8395470141970137E-5</v>
      </c>
      <c r="H103" s="103">
        <f t="shared" si="11"/>
        <v>5.0646873672095727E-3</v>
      </c>
      <c r="I103" s="103">
        <f t="shared" si="12"/>
        <v>-22.364019478021138</v>
      </c>
      <c r="J103" s="103">
        <f t="shared" si="13"/>
        <v>18.963480209556852</v>
      </c>
      <c r="K103" s="103">
        <f t="shared" si="14"/>
        <v>8.1056040186560203</v>
      </c>
      <c r="L103" s="103">
        <f t="shared" si="15"/>
        <v>-3.8770865414077744</v>
      </c>
    </row>
    <row r="104" spans="1:12">
      <c r="A104">
        <v>91</v>
      </c>
      <c r="B104" s="118">
        <f t="shared" si="16"/>
        <v>-0.82797820878396022</v>
      </c>
      <c r="C104" s="118">
        <f t="shared" si="17"/>
        <v>-1.1186240212203472E-4</v>
      </c>
      <c r="D104" s="74">
        <f t="shared" si="18"/>
        <v>7.7209229929766672E-5</v>
      </c>
      <c r="E104" s="74">
        <f t="shared" si="19"/>
        <v>-4.9161854029805161E-4</v>
      </c>
      <c r="F104" s="118">
        <f t="shared" si="20"/>
        <v>5.5193683456054746E-4</v>
      </c>
      <c r="G104" s="118">
        <f t="shared" si="21"/>
        <v>7.7209229929766672E-5</v>
      </c>
      <c r="H104" s="103">
        <f t="shared" si="11"/>
        <v>4.423763014430788E-3</v>
      </c>
      <c r="I104" s="103">
        <f t="shared" si="12"/>
        <v>-19.91150757772218</v>
      </c>
      <c r="J104" s="103">
        <f t="shared" si="13"/>
        <v>16.563696096832846</v>
      </c>
      <c r="K104" s="103">
        <f t="shared" si="14"/>
        <v>7.5955064476048975</v>
      </c>
      <c r="L104" s="103">
        <f t="shared" si="15"/>
        <v>-3.5599925829155312</v>
      </c>
    </row>
    <row r="105" spans="1:12">
      <c r="A105">
        <v>92</v>
      </c>
      <c r="B105" s="118">
        <f t="shared" si="16"/>
        <v>-0.68770238380003246</v>
      </c>
      <c r="C105" s="118">
        <f t="shared" si="17"/>
        <v>-9.9438242649272819E-5</v>
      </c>
      <c r="D105" s="74">
        <f t="shared" si="18"/>
        <v>6.7265405664839394E-5</v>
      </c>
      <c r="E105" s="74">
        <f t="shared" si="19"/>
        <v>-4.5949067018079574E-4</v>
      </c>
      <c r="F105" s="118">
        <f t="shared" si="20"/>
        <v>5.059877675424679E-4</v>
      </c>
      <c r="G105" s="118">
        <f t="shared" si="21"/>
        <v>6.7265405664839394E-5</v>
      </c>
      <c r="H105" s="103">
        <f t="shared" si="11"/>
        <v>3.854023851830677E-3</v>
      </c>
      <c r="I105" s="103">
        <f t="shared" si="12"/>
        <v>-17.700007191570563</v>
      </c>
      <c r="J105" s="103">
        <f t="shared" si="13"/>
        <v>14.430447477277996</v>
      </c>
      <c r="K105" s="103">
        <f t="shared" si="14"/>
        <v>7.0991308542932945</v>
      </c>
      <c r="L105" s="103">
        <f t="shared" si="15"/>
        <v>-3.2636211006489182</v>
      </c>
    </row>
    <row r="106" spans="1:12">
      <c r="A106">
        <v>93</v>
      </c>
      <c r="B106" s="118">
        <f t="shared" si="16"/>
        <v>-0.56595003935180888</v>
      </c>
      <c r="C106" s="118">
        <f t="shared" si="17"/>
        <v>-8.8249991092550315E-5</v>
      </c>
      <c r="D106" s="74">
        <f t="shared" si="18"/>
        <v>5.844040655558436E-5</v>
      </c>
      <c r="E106" s="74">
        <f t="shared" si="19"/>
        <v>-4.284250642826001E-4</v>
      </c>
      <c r="F106" s="118">
        <f t="shared" si="20"/>
        <v>4.6314526111420788E-4</v>
      </c>
      <c r="G106" s="118">
        <f t="shared" si="21"/>
        <v>5.844040655558436E-5</v>
      </c>
      <c r="H106" s="103">
        <f t="shared" si="11"/>
        <v>3.3483886486636522E-3</v>
      </c>
      <c r="I106" s="103">
        <f t="shared" si="12"/>
        <v>-15.708498414473956</v>
      </c>
      <c r="J106" s="103">
        <f t="shared" si="13"/>
        <v>12.537220418369513</v>
      </c>
      <c r="K106" s="103">
        <f t="shared" si="14"/>
        <v>6.6191672431661717</v>
      </c>
      <c r="L106" s="103">
        <f t="shared" si="15"/>
        <v>-2.9872869341866406</v>
      </c>
    </row>
    <row r="107" spans="1:12">
      <c r="A107">
        <v>94</v>
      </c>
      <c r="B107" s="118">
        <f t="shared" si="16"/>
        <v>-0.46060231287508779</v>
      </c>
      <c r="C107" s="118">
        <f t="shared" si="17"/>
        <v>-7.8188276598574249E-5</v>
      </c>
      <c r="D107" s="74">
        <f t="shared" si="18"/>
        <v>5.0621578895726937E-5</v>
      </c>
      <c r="E107" s="74">
        <f t="shared" si="19"/>
        <v>-3.9855292722651848E-4</v>
      </c>
      <c r="F107" s="118">
        <f t="shared" si="20"/>
        <v>4.2328996839155605E-4</v>
      </c>
      <c r="G107" s="118">
        <f t="shared" si="21"/>
        <v>5.0621578895726937E-5</v>
      </c>
      <c r="H107" s="103">
        <f t="shared" si="11"/>
        <v>2.9004028230136718E-3</v>
      </c>
      <c r="I107" s="103">
        <f t="shared" si="12"/>
        <v>-13.917513234546217</v>
      </c>
      <c r="J107" s="103">
        <f t="shared" si="13"/>
        <v>10.8598473205003</v>
      </c>
      <c r="K107" s="103">
        <f t="shared" si="14"/>
        <v>6.1576427256497102</v>
      </c>
      <c r="L107" s="103">
        <f t="shared" si="15"/>
        <v>-2.7302202961255366</v>
      </c>
    </row>
    <row r="108" spans="1:12">
      <c r="A108">
        <v>95</v>
      </c>
      <c r="B108" s="118">
        <f t="shared" si="16"/>
        <v>-0.36975651547825716</v>
      </c>
      <c r="C108" s="118">
        <f t="shared" si="17"/>
        <v>-6.9151989302851922E-5</v>
      </c>
      <c r="D108" s="74">
        <f t="shared" si="18"/>
        <v>4.3706379965441744E-5</v>
      </c>
      <c r="E108" s="74">
        <f t="shared" si="19"/>
        <v>-3.6996900882618159E-4</v>
      </c>
      <c r="F108" s="118">
        <f t="shared" si="20"/>
        <v>3.862930675089379E-4</v>
      </c>
      <c r="G108" s="118">
        <f t="shared" si="21"/>
        <v>4.3706379965441744E-5</v>
      </c>
      <c r="H108" s="103">
        <f t="shared" si="11"/>
        <v>2.5041911098149486E-3</v>
      </c>
      <c r="I108" s="103">
        <f t="shared" si="12"/>
        <v>-12.309054095907642</v>
      </c>
      <c r="J108" s="103">
        <f t="shared" si="13"/>
        <v>9.376329693986218</v>
      </c>
      <c r="K108" s="103">
        <f t="shared" si="14"/>
        <v>5.7160211863645056</v>
      </c>
      <c r="L108" s="103">
        <f t="shared" si="15"/>
        <v>-2.4915902854326495</v>
      </c>
    </row>
    <row r="109" spans="1:12">
      <c r="A109">
        <v>96</v>
      </c>
      <c r="B109" s="118">
        <f t="shared" si="16"/>
        <v>-0.29170649901043166</v>
      </c>
      <c r="C109" s="118">
        <f t="shared" si="17"/>
        <v>-6.1047821214226341E-5</v>
      </c>
      <c r="D109" s="74">
        <f t="shared" si="18"/>
        <v>3.760159784401911E-5</v>
      </c>
      <c r="E109" s="74">
        <f t="shared" si="19"/>
        <v>-3.4273726196119608E-4</v>
      </c>
      <c r="F109" s="118">
        <f t="shared" si="20"/>
        <v>3.5201934131281831E-4</v>
      </c>
      <c r="G109" s="118">
        <f t="shared" si="21"/>
        <v>3.760159784401911E-5</v>
      </c>
      <c r="H109" s="103">
        <f t="shared" si="11"/>
        <v>2.1544128594105103E-3</v>
      </c>
      <c r="I109" s="103">
        <f t="shared" si="12"/>
        <v>-10.866512176132289</v>
      </c>
      <c r="J109" s="103">
        <f t="shared" si="13"/>
        <v>8.0666707854774202</v>
      </c>
      <c r="K109" s="103">
        <f t="shared" si="14"/>
        <v>5.2952906973004792</v>
      </c>
      <c r="L109" s="103">
        <f t="shared" si="15"/>
        <v>-2.2705247514676778</v>
      </c>
    </row>
    <row r="110" spans="1:12">
      <c r="A110">
        <v>97</v>
      </c>
      <c r="B110" s="118">
        <f t="shared" si="16"/>
        <v>-0.22492455517793219</v>
      </c>
      <c r="C110" s="118">
        <f t="shared" si="17"/>
        <v>-5.3789810402781438E-5</v>
      </c>
      <c r="D110" s="74">
        <f t="shared" si="18"/>
        <v>3.2222616803740967E-5</v>
      </c>
      <c r="E110" s="74">
        <f t="shared" si="19"/>
        <v>-3.1689579227337785E-4</v>
      </c>
      <c r="F110" s="118">
        <f t="shared" si="20"/>
        <v>3.203297620854805E-4</v>
      </c>
      <c r="G110" s="118">
        <f t="shared" si="21"/>
        <v>3.2222616803740967E-5</v>
      </c>
      <c r="H110" s="103">
        <f t="shared" si="11"/>
        <v>1.846219947721684E-3</v>
      </c>
      <c r="I110" s="103">
        <f t="shared" si="12"/>
        <v>-9.574586251695095</v>
      </c>
      <c r="J110" s="103">
        <f t="shared" si="13"/>
        <v>6.9127179829065497</v>
      </c>
      <c r="K110" s="103">
        <f t="shared" si="14"/>
        <v>4.896039990623688</v>
      </c>
      <c r="L110" s="103">
        <f t="shared" si="15"/>
        <v>-2.0661269654513492</v>
      </c>
    </row>
    <row r="111" spans="1:12">
      <c r="A111">
        <v>98</v>
      </c>
      <c r="B111" s="118">
        <f t="shared" si="16"/>
        <v>-0.16804475638379346</v>
      </c>
      <c r="C111" s="118">
        <f t="shared" si="17"/>
        <v>-4.7298892496939153E-5</v>
      </c>
      <c r="D111" s="74">
        <f t="shared" si="18"/>
        <v>2.7492727554047052E-5</v>
      </c>
      <c r="E111" s="74">
        <f t="shared" si="19"/>
        <v>-2.9246117658068664E-4</v>
      </c>
      <c r="F111" s="118">
        <f t="shared" si="20"/>
        <v>2.9108364442741186E-4</v>
      </c>
      <c r="G111" s="118">
        <f t="shared" si="21"/>
        <v>2.7492727554047052E-5</v>
      </c>
      <c r="H111" s="103">
        <f t="shared" si="11"/>
        <v>1.5752172561499227E-3</v>
      </c>
      <c r="I111" s="103">
        <f t="shared" si="12"/>
        <v>-8.4192028644551691</v>
      </c>
      <c r="J111" s="103">
        <f t="shared" si="13"/>
        <v>5.8980148421697143</v>
      </c>
      <c r="K111" s="103">
        <f t="shared" si="14"/>
        <v>4.5185251781716085</v>
      </c>
      <c r="L111" s="103">
        <f t="shared" si="15"/>
        <v>-1.8774895065568065</v>
      </c>
    </row>
    <row r="112" spans="1:12">
      <c r="A112">
        <v>99</v>
      </c>
      <c r="B112" s="118">
        <f t="shared" si="16"/>
        <v>-0.11984764932934722</v>
      </c>
      <c r="C112" s="118">
        <f t="shared" si="17"/>
        <v>-4.1502462712687783E-5</v>
      </c>
      <c r="D112" s="74">
        <f t="shared" si="18"/>
        <v>2.3342481282778274E-5</v>
      </c>
      <c r="E112" s="74">
        <f t="shared" si="19"/>
        <v>-2.6943221958945399E-4</v>
      </c>
      <c r="F112" s="118">
        <f t="shared" si="20"/>
        <v>2.6414042246846646E-4</v>
      </c>
      <c r="G112" s="118">
        <f t="shared" si="21"/>
        <v>2.3342481282778274E-5</v>
      </c>
      <c r="H112" s="103">
        <f t="shared" si="11"/>
        <v>1.337425660866315E-3</v>
      </c>
      <c r="I112" s="103">
        <f t="shared" si="12"/>
        <v>-7.3874383628584255</v>
      </c>
      <c r="J112" s="103">
        <f t="shared" si="13"/>
        <v>5.0076625095944234</v>
      </c>
      <c r="K112" s="103">
        <f t="shared" si="14"/>
        <v>4.1627277926570638</v>
      </c>
      <c r="L112" s="103">
        <f t="shared" si="15"/>
        <v>-1.7037057249216088</v>
      </c>
    </row>
    <row r="113" spans="1:12">
      <c r="A113">
        <v>100</v>
      </c>
      <c r="B113" s="118">
        <f t="shared" si="16"/>
        <v>-7.9246214471452969E-2</v>
      </c>
      <c r="C113" s="118">
        <f t="shared" si="17"/>
        <v>-3.6333950960219593E-5</v>
      </c>
      <c r="D113" s="74">
        <f t="shared" si="18"/>
        <v>1.9709086186756314E-5</v>
      </c>
      <c r="E113" s="74">
        <f t="shared" si="19"/>
        <v>-2.477932117564648E-4</v>
      </c>
      <c r="F113" s="118">
        <f t="shared" si="20"/>
        <v>2.3936110129281997E-4</v>
      </c>
      <c r="G113" s="118">
        <f t="shared" si="21"/>
        <v>1.9709086186756314E-5</v>
      </c>
      <c r="H113" s="103">
        <f t="shared" si="11"/>
        <v>1.1292474565607262E-3</v>
      </c>
      <c r="I113" s="103">
        <f t="shared" si="12"/>
        <v>-6.4674432709190874</v>
      </c>
      <c r="J113" s="103">
        <f t="shared" si="13"/>
        <v>4.2281902596448315</v>
      </c>
      <c r="K113" s="103">
        <f t="shared" si="14"/>
        <v>3.8284051216373811</v>
      </c>
      <c r="L113" s="103">
        <f t="shared" si="15"/>
        <v>-1.5438791033386887</v>
      </c>
    </row>
    <row r="114" spans="1:12">
      <c r="A114">
        <v>101</v>
      </c>
      <c r="B114" s="118">
        <f t="shared" si="16"/>
        <v>-4.5273007024436485E-2</v>
      </c>
      <c r="C114" s="118">
        <f t="shared" si="17"/>
        <v>-3.1732411989330272E-5</v>
      </c>
      <c r="D114" s="74">
        <f t="shared" si="18"/>
        <v>1.6535844987823286E-5</v>
      </c>
      <c r="E114" s="74">
        <f t="shared" si="19"/>
        <v>-2.2751674497717352E-4</v>
      </c>
      <c r="F114" s="118">
        <f t="shared" si="20"/>
        <v>2.1660942679510261E-4</v>
      </c>
      <c r="G114" s="118">
        <f t="shared" si="21"/>
        <v>1.6535844987823286E-5</v>
      </c>
      <c r="H114" s="103">
        <f t="shared" si="11"/>
        <v>9.4743412848483045E-4</v>
      </c>
      <c r="I114" s="103">
        <f t="shared" si="12"/>
        <v>-5.6483693341007886</v>
      </c>
      <c r="J114" s="103">
        <f t="shared" si="13"/>
        <v>3.5474348252377297</v>
      </c>
      <c r="K114" s="103">
        <f t="shared" si="14"/>
        <v>3.5151337098973308</v>
      </c>
      <c r="L114" s="103">
        <f t="shared" si="15"/>
        <v>-1.3971308028284117</v>
      </c>
    </row>
    <row r="115" spans="1:12">
      <c r="A115">
        <v>102</v>
      </c>
      <c r="B115" s="118">
        <f t="shared" si="16"/>
        <v>-1.7068398205860147E-2</v>
      </c>
      <c r="C115" s="118">
        <f t="shared" si="17"/>
        <v>-2.7642132034279998E-5</v>
      </c>
      <c r="D115" s="74">
        <f t="shared" si="18"/>
        <v>1.3771631784395286E-5</v>
      </c>
      <c r="E115" s="74">
        <f t="shared" si="19"/>
        <v>-2.0856613712116659E-4</v>
      </c>
      <c r="F115" s="118">
        <f t="shared" si="20"/>
        <v>1.9575281308298594E-4</v>
      </c>
      <c r="G115" s="118">
        <f t="shared" si="21"/>
        <v>1.3771631784395286E-5</v>
      </c>
      <c r="H115" s="103">
        <f t="shared" si="11"/>
        <v>7.8905637825406869E-4</v>
      </c>
      <c r="I115" s="103">
        <f t="shared" si="12"/>
        <v>-4.9202995021018392</v>
      </c>
      <c r="J115" s="103">
        <f t="shared" si="13"/>
        <v>2.9544281667063208</v>
      </c>
      <c r="K115" s="103">
        <f t="shared" si="14"/>
        <v>3.2223468185220239</v>
      </c>
      <c r="L115" s="103">
        <f t="shared" si="15"/>
        <v>-1.2626056443852594</v>
      </c>
    </row>
    <row r="116" spans="1:12">
      <c r="A116">
        <v>103</v>
      </c>
      <c r="B116" s="118">
        <f t="shared" si="16"/>
        <v>6.1301612587538745E-3</v>
      </c>
      <c r="C116" s="118">
        <f t="shared" si="17"/>
        <v>-2.4012252991919535E-5</v>
      </c>
      <c r="D116" s="74">
        <f t="shared" si="18"/>
        <v>1.1370406485203332E-5</v>
      </c>
      <c r="E116" s="74">
        <f t="shared" si="19"/>
        <v>-1.908975112674862E-4</v>
      </c>
      <c r="F116" s="118">
        <f t="shared" si="20"/>
        <v>1.7666306195623731E-4</v>
      </c>
      <c r="G116" s="118">
        <f t="shared" si="21"/>
        <v>1.1370406485203332E-5</v>
      </c>
      <c r="H116" s="103">
        <f t="shared" si="11"/>
        <v>6.5147630295033139E-4</v>
      </c>
      <c r="I116" s="103">
        <f t="shared" si="12"/>
        <v>-4.2741810325616774</v>
      </c>
      <c r="J116" s="103">
        <f t="shared" si="13"/>
        <v>2.439293303270671</v>
      </c>
      <c r="K116" s="103">
        <f t="shared" si="14"/>
        <v>2.9493665490826619</v>
      </c>
      <c r="L116" s="103">
        <f t="shared" si="15"/>
        <v>-1.1394767496177307</v>
      </c>
    </row>
    <row r="117" spans="1:12">
      <c r="A117">
        <v>104</v>
      </c>
      <c r="B117" s="118">
        <f t="shared" si="16"/>
        <v>2.4997929826075183E-2</v>
      </c>
      <c r="C117" s="118">
        <f t="shared" si="17"/>
        <v>-2.0796414805127796E-5</v>
      </c>
      <c r="D117" s="74">
        <f t="shared" si="18"/>
        <v>9.2907650046905518E-6</v>
      </c>
      <c r="E117" s="74">
        <f t="shared" si="19"/>
        <v>-1.7446157077784285E-4</v>
      </c>
      <c r="F117" s="118">
        <f t="shared" si="20"/>
        <v>1.5921690487845304E-4</v>
      </c>
      <c r="G117" s="118">
        <f t="shared" si="21"/>
        <v>9.2907650046905518E-6</v>
      </c>
      <c r="H117" s="103">
        <f t="shared" si="11"/>
        <v>5.3232162321661112E-4</v>
      </c>
      <c r="I117" s="103">
        <f t="shared" si="12"/>
        <v>-3.7017618353127477</v>
      </c>
      <c r="J117" s="103">
        <f t="shared" si="13"/>
        <v>1.9931478164562642</v>
      </c>
      <c r="K117" s="103">
        <f t="shared" si="14"/>
        <v>2.6954312685176718</v>
      </c>
      <c r="L117" s="103">
        <f t="shared" si="15"/>
        <v>-1.0269490364660221</v>
      </c>
    </row>
    <row r="118" spans="1:12">
      <c r="A118">
        <v>105</v>
      </c>
      <c r="B118" s="118">
        <f t="shared" si="16"/>
        <v>4.0131786804833869E-2</v>
      </c>
      <c r="C118" s="118">
        <f t="shared" si="17"/>
        <v>-1.7952416419201625E-5</v>
      </c>
      <c r="D118" s="74">
        <f t="shared" si="18"/>
        <v>7.4955233627703895E-6</v>
      </c>
      <c r="E118" s="74">
        <f t="shared" si="19"/>
        <v>-1.5920510705320388E-4</v>
      </c>
      <c r="F118" s="118">
        <f t="shared" si="20"/>
        <v>1.4329639417313264E-4</v>
      </c>
      <c r="G118" s="118">
        <f t="shared" si="21"/>
        <v>7.4955233627703895E-6</v>
      </c>
      <c r="H118" s="103">
        <f t="shared" si="11"/>
        <v>4.2946185392844961E-4</v>
      </c>
      <c r="I118" s="103">
        <f t="shared" si="12"/>
        <v>-3.1955301226178894</v>
      </c>
      <c r="J118" s="103">
        <f t="shared" si="13"/>
        <v>1.6080146270151316</v>
      </c>
      <c r="K118" s="103">
        <f t="shared" si="14"/>
        <v>2.459718903972</v>
      </c>
      <c r="L118" s="103">
        <f t="shared" si="15"/>
        <v>-0.92426174241670556</v>
      </c>
    </row>
    <row r="119" spans="1:12">
      <c r="A119">
        <v>106</v>
      </c>
      <c r="B119" s="118">
        <f t="shared" si="16"/>
        <v>5.2058334047463295E-2</v>
      </c>
      <c r="C119" s="118">
        <f t="shared" si="17"/>
        <v>-1.544189542476654E-5</v>
      </c>
      <c r="D119" s="74">
        <f t="shared" si="18"/>
        <v>5.9513338202937353E-6</v>
      </c>
      <c r="E119" s="74">
        <f t="shared" si="19"/>
        <v>-1.4507227291801696E-4</v>
      </c>
      <c r="F119" s="118">
        <f t="shared" si="20"/>
        <v>1.2878916688133094E-4</v>
      </c>
      <c r="G119" s="118">
        <f t="shared" si="21"/>
        <v>5.9513338202937353E-6</v>
      </c>
      <c r="H119" s="103">
        <f t="shared" si="11"/>
        <v>3.4098631037629974E-4</v>
      </c>
      <c r="I119" s="103">
        <f t="shared" si="12"/>
        <v>-2.748657385608444</v>
      </c>
      <c r="J119" s="103">
        <f t="shared" si="13"/>
        <v>1.2767396444676151</v>
      </c>
      <c r="K119" s="103">
        <f t="shared" si="14"/>
        <v>2.2413666165833619</v>
      </c>
      <c r="L119" s="103">
        <f t="shared" si="15"/>
        <v>-0.83069012638458462</v>
      </c>
    </row>
    <row r="120" spans="1:12">
      <c r="A120">
        <v>107</v>
      </c>
      <c r="B120" s="118">
        <f t="shared" si="16"/>
        <v>6.1241250942051573E-2</v>
      </c>
      <c r="C120" s="118">
        <f t="shared" si="17"/>
        <v>-1.3230026290734557E-5</v>
      </c>
      <c r="D120" s="74">
        <f t="shared" si="18"/>
        <v>4.6283311912202798E-6</v>
      </c>
      <c r="E120" s="74">
        <f t="shared" si="19"/>
        <v>-1.3200565103698139E-4</v>
      </c>
      <c r="F120" s="118">
        <f t="shared" si="20"/>
        <v>1.155886017776328E-4</v>
      </c>
      <c r="G120" s="118">
        <f t="shared" si="21"/>
        <v>4.6283311912202798E-6</v>
      </c>
      <c r="H120" s="103">
        <f t="shared" si="11"/>
        <v>2.651838434456788E-4</v>
      </c>
      <c r="I120" s="103">
        <f t="shared" si="12"/>
        <v>-2.3549446797507509</v>
      </c>
      <c r="J120" s="103">
        <f t="shared" si="13"/>
        <v>0.99291589045248663</v>
      </c>
      <c r="K120" s="103">
        <f t="shared" si="14"/>
        <v>2.0394873085213625</v>
      </c>
      <c r="L120" s="103">
        <f t="shared" si="15"/>
        <v>-0.74554648146573155</v>
      </c>
    </row>
    <row r="121" spans="1:12">
      <c r="A121">
        <v>108</v>
      </c>
      <c r="B121" s="118">
        <f t="shared" si="16"/>
        <v>6.808796224263336E-2</v>
      </c>
      <c r="C121" s="118">
        <f t="shared" si="17"/>
        <v>-1.1285236919169343E-5</v>
      </c>
      <c r="D121" s="74">
        <f t="shared" si="18"/>
        <v>3.4998074993033455E-6</v>
      </c>
      <c r="E121" s="74">
        <f t="shared" si="19"/>
        <v>-1.1994714356376302E-4</v>
      </c>
      <c r="F121" s="118">
        <f t="shared" si="20"/>
        <v>1.035938874212565E-4</v>
      </c>
      <c r="G121" s="118">
        <f t="shared" si="21"/>
        <v>3.4998074993033455E-6</v>
      </c>
      <c r="H121" s="103">
        <f t="shared" si="11"/>
        <v>2.0052419881831649E-4</v>
      </c>
      <c r="I121" s="103">
        <f t="shared" si="12"/>
        <v>-2.0087721716121432</v>
      </c>
      <c r="J121" s="103">
        <f t="shared" si="13"/>
        <v>0.75081370282554671</v>
      </c>
      <c r="K121" s="103">
        <f t="shared" si="14"/>
        <v>1.8531833680601386</v>
      </c>
      <c r="L121" s="103">
        <f t="shared" si="15"/>
        <v>-0.66818057386710439</v>
      </c>
    </row>
    <row r="122" spans="1:12">
      <c r="A122">
        <v>109</v>
      </c>
      <c r="B122" s="118">
        <f t="shared" si="16"/>
        <v>7.2955674593562336E-2</v>
      </c>
      <c r="C122" s="118">
        <f t="shared" si="17"/>
        <v>-9.5789431155793753E-6</v>
      </c>
      <c r="D122" s="74">
        <f t="shared" si="18"/>
        <v>2.5419131877454079E-6</v>
      </c>
      <c r="E122" s="74">
        <f t="shared" si="19"/>
        <v>-1.0883870632278867E-4</v>
      </c>
      <c r="F122" s="118">
        <f t="shared" si="20"/>
        <v>9.2710016788977623E-5</v>
      </c>
      <c r="G122" s="118">
        <f t="shared" si="21"/>
        <v>2.5419131877454079E-6</v>
      </c>
      <c r="H122" s="103">
        <f t="shared" si="11"/>
        <v>1.4564089754645713E-4</v>
      </c>
      <c r="I122" s="103">
        <f t="shared" si="12"/>
        <v>-1.7050518745731289</v>
      </c>
      <c r="J122" s="103">
        <f t="shared" si="13"/>
        <v>0.54531663616702231</v>
      </c>
      <c r="K122" s="103">
        <f t="shared" si="14"/>
        <v>1.681558012687085</v>
      </c>
      <c r="L122" s="103">
        <f t="shared" si="15"/>
        <v>-0.59797960828890562</v>
      </c>
    </row>
    <row r="123" spans="1:12">
      <c r="A123">
        <v>110</v>
      </c>
      <c r="B123" s="118">
        <f t="shared" si="16"/>
        <v>7.6156834007927166E-2</v>
      </c>
      <c r="C123" s="118">
        <f t="shared" si="17"/>
        <v>-8.0853004586424204E-6</v>
      </c>
      <c r="D123" s="74">
        <f t="shared" si="18"/>
        <v>1.7333831418811658E-6</v>
      </c>
      <c r="E123" s="74">
        <f t="shared" si="19"/>
        <v>-9.8622948209174202E-5</v>
      </c>
      <c r="F123" s="118">
        <f t="shared" si="20"/>
        <v>8.2847721968060207E-5</v>
      </c>
      <c r="G123" s="118">
        <f t="shared" si="21"/>
        <v>1.7333831418811658E-6</v>
      </c>
      <c r="H123" s="103">
        <f t="shared" si="11"/>
        <v>9.931553830891717E-5</v>
      </c>
      <c r="I123" s="103">
        <f t="shared" si="12"/>
        <v>-1.4391834816383509</v>
      </c>
      <c r="J123" s="103">
        <f t="shared" si="13"/>
        <v>0.37186268542776652</v>
      </c>
      <c r="K123" s="103">
        <f t="shared" si="14"/>
        <v>1.5237245498317413</v>
      </c>
      <c r="L123" s="103">
        <f t="shared" si="15"/>
        <v>-0.53436780669398831</v>
      </c>
    </row>
    <row r="124" spans="1:12">
      <c r="A124">
        <v>111</v>
      </c>
      <c r="B124" s="118">
        <f t="shared" si="16"/>
        <v>7.7964053072831385E-2</v>
      </c>
      <c r="C124" s="118">
        <f t="shared" si="17"/>
        <v>-6.780972968664943E-6</v>
      </c>
      <c r="D124" s="74">
        <f t="shared" si="18"/>
        <v>1.0552858450146715E-6</v>
      </c>
      <c r="E124" s="74">
        <f t="shared" si="19"/>
        <v>-8.924361413436905E-5</v>
      </c>
      <c r="F124" s="118">
        <f t="shared" si="20"/>
        <v>7.3923360554623298E-5</v>
      </c>
      <c r="G124" s="118">
        <f t="shared" si="21"/>
        <v>1.0552858450146715E-6</v>
      </c>
      <c r="H124" s="103">
        <f t="shared" si="11"/>
        <v>6.0463425099237387E-5</v>
      </c>
      <c r="I124" s="103">
        <f t="shared" si="12"/>
        <v>-1.2070131884223598</v>
      </c>
      <c r="J124" s="103">
        <f t="shared" si="13"/>
        <v>0.22639047233099749</v>
      </c>
      <c r="K124" s="103">
        <f t="shared" si="14"/>
        <v>1.3788138383760018</v>
      </c>
      <c r="L124" s="103">
        <f t="shared" si="15"/>
        <v>-0.47680567557732029</v>
      </c>
    </row>
    <row r="125" spans="1:12">
      <c r="A125">
        <v>112</v>
      </c>
      <c r="B125" s="118">
        <f t="shared" si="16"/>
        <v>7.86145532926808E-2</v>
      </c>
      <c r="C125" s="118">
        <f t="shared" si="17"/>
        <v>-5.6449179106470687E-6</v>
      </c>
      <c r="D125" s="74">
        <f t="shared" si="18"/>
        <v>4.9079405394996466E-7</v>
      </c>
      <c r="E125" s="74">
        <f t="shared" si="19"/>
        <v>-8.0645967724176032E-5</v>
      </c>
      <c r="F125" s="118">
        <f t="shared" si="20"/>
        <v>6.58587637822057E-5</v>
      </c>
      <c r="G125" s="118">
        <f t="shared" si="21"/>
        <v>4.9079405394996466E-7</v>
      </c>
      <c r="H125" s="103">
        <f t="shared" si="11"/>
        <v>2.8120427901449003E-5</v>
      </c>
      <c r="I125" s="103">
        <f t="shared" si="12"/>
        <v>-1.0047953880951783</v>
      </c>
      <c r="J125" s="103">
        <f t="shared" si="13"/>
        <v>0.10529004839388592</v>
      </c>
      <c r="K125" s="103">
        <f t="shared" si="14"/>
        <v>1.2459802013385197</v>
      </c>
      <c r="L125" s="103">
        <f t="shared" si="15"/>
        <v>-0.42478902639522675</v>
      </c>
    </row>
    <row r="126" spans="1:12">
      <c r="A126">
        <v>113</v>
      </c>
      <c r="B126" s="118">
        <f t="shared" si="16"/>
        <v>7.831416475799946E-2</v>
      </c>
      <c r="C126" s="118">
        <f t="shared" si="17"/>
        <v>-4.6581860225163471E-6</v>
      </c>
      <c r="D126" s="74">
        <f t="shared" si="18"/>
        <v>2.4975451698329926E-8</v>
      </c>
      <c r="E126" s="74">
        <f t="shared" si="19"/>
        <v>-7.2777088070828596E-5</v>
      </c>
      <c r="F126" s="118">
        <f t="shared" si="20"/>
        <v>5.8581054975122843E-5</v>
      </c>
      <c r="G126" s="118">
        <f t="shared" si="21"/>
        <v>2.4975451698329926E-8</v>
      </c>
      <c r="H126" s="103">
        <f t="shared" si="11"/>
        <v>1.430987973747149E-6</v>
      </c>
      <c r="I126" s="103">
        <f t="shared" si="12"/>
        <v>-0.82915711200790976</v>
      </c>
      <c r="J126" s="103">
        <f t="shared" si="13"/>
        <v>5.3579836528427193E-3</v>
      </c>
      <c r="K126" s="103">
        <f t="shared" si="14"/>
        <v>1.1244060106943019</v>
      </c>
      <c r="L126" s="103">
        <f t="shared" si="15"/>
        <v>-0.37784780458954231</v>
      </c>
    </row>
    <row r="127" spans="1:12">
      <c r="A127">
        <v>114</v>
      </c>
      <c r="B127" s="118">
        <f t="shared" si="16"/>
        <v>7.7240922250307487E-2</v>
      </c>
      <c r="C127" s="118">
        <f t="shared" si="17"/>
        <v>-3.8037364291424773E-6</v>
      </c>
      <c r="D127" s="74">
        <f t="shared" si="18"/>
        <v>-3.5539819121591783E-7</v>
      </c>
      <c r="E127" s="74">
        <f t="shared" si="19"/>
        <v>-6.5586093132621724E-5</v>
      </c>
      <c r="F127" s="118">
        <f t="shared" si="20"/>
        <v>5.2022445661860671E-5</v>
      </c>
      <c r="G127" s="118">
        <f t="shared" si="21"/>
        <v>-3.5539819121591783E-7</v>
      </c>
      <c r="H127" s="103">
        <f t="shared" si="11"/>
        <v>-2.0362816403255498E-5</v>
      </c>
      <c r="I127" s="103">
        <f t="shared" si="12"/>
        <v>-0.6770650843873609</v>
      </c>
      <c r="J127" s="103">
        <f t="shared" si="13"/>
        <v>-7.6243573961550848E-2</v>
      </c>
      <c r="K127" s="103">
        <f t="shared" si="14"/>
        <v>1.0133051388990055</v>
      </c>
      <c r="L127" s="103">
        <f t="shared" si="15"/>
        <v>-0.33554477451900133</v>
      </c>
    </row>
    <row r="128" spans="1:12">
      <c r="A128">
        <v>115</v>
      </c>
      <c r="B128" s="118">
        <f t="shared" si="16"/>
        <v>7.5548293968907498E-2</v>
      </c>
      <c r="C128" s="118">
        <f t="shared" si="17"/>
        <v>-3.0662654857146923E-6</v>
      </c>
      <c r="D128" s="74">
        <f t="shared" si="18"/>
        <v>-6.6202473978738704E-7</v>
      </c>
      <c r="E128" s="74">
        <f t="shared" si="19"/>
        <v>-5.9024300845412062E-5</v>
      </c>
      <c r="F128" s="118">
        <f t="shared" si="20"/>
        <v>4.6120015577319463E-5</v>
      </c>
      <c r="G128" s="118">
        <f t="shared" si="21"/>
        <v>-6.6202473978738704E-7</v>
      </c>
      <c r="H128" s="103">
        <f t="shared" si="11"/>
        <v>-3.7931223523063828E-5</v>
      </c>
      <c r="I128" s="103">
        <f t="shared" si="12"/>
        <v>-0.54579525645721527</v>
      </c>
      <c r="J128" s="103">
        <f t="shared" si="13"/>
        <v>-0.14202416742658813</v>
      </c>
      <c r="K128" s="103">
        <f t="shared" si="14"/>
        <v>0.91192544806161635</v>
      </c>
      <c r="L128" s="103">
        <f t="shared" si="15"/>
        <v>-0.29747410047371053</v>
      </c>
    </row>
    <row r="129" spans="1:12">
      <c r="A129">
        <v>116</v>
      </c>
      <c r="B129" s="118">
        <f t="shared" si="16"/>
        <v>7.3368076295897533E-2</v>
      </c>
      <c r="C129" s="118">
        <f t="shared" si="17"/>
        <v>-2.4320487878188714E-6</v>
      </c>
      <c r="D129" s="74">
        <f t="shared" si="18"/>
        <v>-9.0522961856927422E-7</v>
      </c>
      <c r="E129" s="74">
        <f t="shared" si="19"/>
        <v>-5.304533764367622E-5</v>
      </c>
      <c r="F129" s="118">
        <f t="shared" si="20"/>
        <v>4.0815481812951842E-5</v>
      </c>
      <c r="G129" s="118">
        <f t="shared" si="21"/>
        <v>-9.0522961856927422E-7</v>
      </c>
      <c r="H129" s="103">
        <f t="shared" si="11"/>
        <v>-5.1865836634256745E-5</v>
      </c>
      <c r="I129" s="103">
        <f t="shared" si="12"/>
        <v>-0.4329046842317591</v>
      </c>
      <c r="J129" s="103">
        <f t="shared" si="13"/>
        <v>-0.1941989100716664</v>
      </c>
      <c r="K129" s="103">
        <f t="shared" si="14"/>
        <v>0.81955046659479758</v>
      </c>
      <c r="L129" s="103">
        <f t="shared" si="15"/>
        <v>-0.26325985769353938</v>
      </c>
    </row>
    <row r="130" spans="1:12">
      <c r="A130">
        <v>117</v>
      </c>
      <c r="B130" s="118">
        <f t="shared" si="16"/>
        <v>7.081298540216735E-2</v>
      </c>
      <c r="C130" s="118">
        <f t="shared" si="17"/>
        <v>-1.8887955882267642E-6</v>
      </c>
      <c r="D130" s="74">
        <f t="shared" si="18"/>
        <v>-1.0941091773919507E-6</v>
      </c>
      <c r="E130" s="74">
        <f t="shared" si="19"/>
        <v>-4.760520286954741E-5</v>
      </c>
      <c r="F130" s="118">
        <f t="shared" si="20"/>
        <v>3.6054961525997099E-5</v>
      </c>
      <c r="G130" s="118">
        <f t="shared" si="21"/>
        <v>-1.0941091773919507E-6</v>
      </c>
      <c r="H130" s="103">
        <f t="shared" si="11"/>
        <v>-6.2687838191089092E-5</v>
      </c>
      <c r="I130" s="103">
        <f t="shared" si="12"/>
        <v>-0.336205614704364</v>
      </c>
      <c r="J130" s="103">
        <f t="shared" si="13"/>
        <v>-0.23471924182589518</v>
      </c>
      <c r="K130" s="103">
        <f t="shared" si="14"/>
        <v>0.73550038433450748</v>
      </c>
      <c r="L130" s="103">
        <f t="shared" si="15"/>
        <v>-0.23255450184268128</v>
      </c>
    </row>
    <row r="131" spans="1:12">
      <c r="A131">
        <v>118</v>
      </c>
      <c r="B131" s="118">
        <f t="shared" si="16"/>
        <v>6.7978974038432949E-2</v>
      </c>
      <c r="C131" s="118">
        <f t="shared" si="17"/>
        <v>-1.4255148703807348E-6</v>
      </c>
      <c r="D131" s="74">
        <f t="shared" si="18"/>
        <v>-1.2366606644300242E-6</v>
      </c>
      <c r="E131" s="74">
        <f t="shared" si="19"/>
        <v>-4.2662296462349149E-5</v>
      </c>
      <c r="F131" s="118">
        <f t="shared" si="20"/>
        <v>3.1788731879762186E-5</v>
      </c>
      <c r="G131" s="118">
        <f t="shared" si="21"/>
        <v>-1.2366606644300242E-6</v>
      </c>
      <c r="H131" s="103">
        <f t="shared" si="11"/>
        <v>-7.0855436761684557E-5</v>
      </c>
      <c r="I131" s="103">
        <f t="shared" si="12"/>
        <v>-0.25374164692777079</v>
      </c>
      <c r="J131" s="103">
        <f t="shared" si="13"/>
        <v>-0.26530081234017311</v>
      </c>
      <c r="K131" s="103">
        <f t="shared" si="14"/>
        <v>0.6591324803432943</v>
      </c>
      <c r="L131" s="103">
        <f t="shared" si="15"/>
        <v>-0.20503732062446611</v>
      </c>
    </row>
    <row r="132" spans="1:12">
      <c r="A132">
        <v>119</v>
      </c>
      <c r="B132" s="118">
        <f t="shared" si="16"/>
        <v>6.4947299549115711E-2</v>
      </c>
      <c r="C132" s="118">
        <f t="shared" si="17"/>
        <v>-1.0323923444141119E-6</v>
      </c>
      <c r="D132" s="74">
        <f t="shared" si="18"/>
        <v>-1.3398998988714355E-6</v>
      </c>
      <c r="E132" s="74">
        <f t="shared" si="19"/>
        <v>-3.8177416355744732E-5</v>
      </c>
      <c r="F132" s="118">
        <f t="shared" si="20"/>
        <v>2.7970990244187713E-5</v>
      </c>
      <c r="G132" s="118">
        <f t="shared" si="21"/>
        <v>-1.3398998988714355E-6</v>
      </c>
      <c r="H132" s="103">
        <f t="shared" si="11"/>
        <v>-7.6770609175339077E-5</v>
      </c>
      <c r="I132" s="103">
        <f t="shared" si="12"/>
        <v>-0.18376583730571192</v>
      </c>
      <c r="J132" s="103">
        <f t="shared" si="13"/>
        <v>-0.28744872530488907</v>
      </c>
      <c r="K132" s="103">
        <f t="shared" si="14"/>
        <v>0.58984108269625612</v>
      </c>
      <c r="L132" s="103">
        <f t="shared" si="15"/>
        <v>-0.18041288707501074</v>
      </c>
    </row>
    <row r="133" spans="1:12">
      <c r="A133">
        <v>120</v>
      </c>
      <c r="B133" s="118">
        <f t="shared" si="16"/>
        <v>6.1786366989355634E-2</v>
      </c>
      <c r="C133" s="118">
        <f t="shared" si="17"/>
        <v>-7.0067765207173178E-7</v>
      </c>
      <c r="D133" s="74">
        <f t="shared" si="18"/>
        <v>-1.4099676640786085E-6</v>
      </c>
      <c r="E133" s="74">
        <f t="shared" si="19"/>
        <v>-3.4113731152927079E-5</v>
      </c>
      <c r="F133" s="118">
        <f t="shared" si="20"/>
        <v>2.4559617128895004E-5</v>
      </c>
      <c r="G133" s="118">
        <f t="shared" si="21"/>
        <v>-1.4099676640786085E-6</v>
      </c>
      <c r="H133" s="103">
        <f t="shared" si="11"/>
        <v>-8.0785196401623677E-5</v>
      </c>
      <c r="I133" s="103">
        <f t="shared" si="12"/>
        <v>-0.12472062206876826</v>
      </c>
      <c r="J133" s="103">
        <f t="shared" si="13"/>
        <v>-0.30248036297478387</v>
      </c>
      <c r="K133" s="103">
        <f t="shared" si="14"/>
        <v>0.52705714631272338</v>
      </c>
      <c r="L133" s="103">
        <f t="shared" si="15"/>
        <v>-0.15840953048137277</v>
      </c>
    </row>
    <row r="134" spans="1:12">
      <c r="A134">
        <v>121</v>
      </c>
      <c r="B134" s="118">
        <f t="shared" si="16"/>
        <v>5.8553369212201528E-2</v>
      </c>
      <c r="C134" s="118">
        <f t="shared" si="17"/>
        <v>-4.2258109103873842E-7</v>
      </c>
      <c r="D134" s="74">
        <f t="shared" si="18"/>
        <v>-1.4522257731824823E-6</v>
      </c>
      <c r="E134" s="74">
        <f t="shared" si="19"/>
        <v>-3.0436732891480649E-5</v>
      </c>
      <c r="F134" s="118">
        <f t="shared" si="20"/>
        <v>2.1515943839746939E-5</v>
      </c>
      <c r="G134" s="118">
        <f t="shared" si="21"/>
        <v>-1.4522257731824823E-6</v>
      </c>
      <c r="H134" s="103">
        <f t="shared" si="11"/>
        <v>-8.3206407703479012E-5</v>
      </c>
      <c r="I134" s="103">
        <f t="shared" si="12"/>
        <v>-7.5219434204895436E-2</v>
      </c>
      <c r="J134" s="103">
        <f t="shared" si="13"/>
        <v>-0.31154599512083792</v>
      </c>
      <c r="K134" s="103">
        <f t="shared" si="14"/>
        <v>0.47024752317337604</v>
      </c>
      <c r="L134" s="103">
        <f t="shared" si="15"/>
        <v>-0.13877783776636776</v>
      </c>
    </row>
    <row r="135" spans="1:12">
      <c r="A135">
        <v>122</v>
      </c>
      <c r="B135" s="118">
        <f t="shared" si="16"/>
        <v>5.5295743918725049E-2</v>
      </c>
      <c r="C135" s="118">
        <f t="shared" si="17"/>
        <v>-1.9117919605078806E-7</v>
      </c>
      <c r="D135" s="74">
        <f t="shared" si="18"/>
        <v>-1.4713436927875612E-6</v>
      </c>
      <c r="E135" s="74">
        <f t="shared" si="19"/>
        <v>-2.7114174038789482E-5</v>
      </c>
      <c r="F135" s="118">
        <f t="shared" si="20"/>
        <v>1.880452643586799E-5</v>
      </c>
      <c r="G135" s="118">
        <f t="shared" si="21"/>
        <v>-1.4713436927875612E-6</v>
      </c>
      <c r="H135" s="103">
        <f t="shared" si="11"/>
        <v>-8.4301783809920443E-5</v>
      </c>
      <c r="I135" s="103">
        <f t="shared" si="12"/>
        <v>-3.4029896897040272E-2</v>
      </c>
      <c r="J135" s="103">
        <f t="shared" si="13"/>
        <v>-0.31564736241371549</v>
      </c>
      <c r="K135" s="103">
        <f t="shared" si="14"/>
        <v>0.41891398889929748</v>
      </c>
      <c r="L135" s="103">
        <f t="shared" si="15"/>
        <v>-0.12128919551134854</v>
      </c>
    </row>
    <row r="136" spans="1:12">
      <c r="A136">
        <v>123</v>
      </c>
      <c r="B136" s="118">
        <f t="shared" si="16"/>
        <v>5.2052465922806823E-2</v>
      </c>
      <c r="C136" s="118">
        <f t="shared" si="17"/>
        <v>-3.2854297993870294E-10</v>
      </c>
      <c r="D136" s="74">
        <f t="shared" si="18"/>
        <v>-1.4713765470855549E-6</v>
      </c>
      <c r="E136" s="74">
        <f t="shared" si="19"/>
        <v>-2.4115992267137131E-5</v>
      </c>
      <c r="F136" s="118">
        <f t="shared" si="20"/>
        <v>1.6392927209154275E-5</v>
      </c>
      <c r="G136" s="118">
        <f t="shared" si="21"/>
        <v>-1.4713765470855549E-6</v>
      </c>
      <c r="H136" s="103">
        <f t="shared" si="11"/>
        <v>-8.4303666222534343E-5</v>
      </c>
      <c r="I136" s="103">
        <f t="shared" si="12"/>
        <v>-5.8480650429089124E-5</v>
      </c>
      <c r="J136" s="103">
        <f t="shared" si="13"/>
        <v>-0.31565441064626409</v>
      </c>
      <c r="K136" s="103">
        <f t="shared" si="14"/>
        <v>0.37259208052726867</v>
      </c>
      <c r="L136" s="103">
        <f t="shared" si="15"/>
        <v>-0.10573438049904507</v>
      </c>
    </row>
    <row r="137" spans="1:12">
      <c r="A137">
        <v>124</v>
      </c>
      <c r="B137" s="118">
        <f t="shared" si="16"/>
        <v>4.8855191268469572E-2</v>
      </c>
      <c r="C137" s="118">
        <f t="shared" si="17"/>
        <v>1.5541282777981426E-7</v>
      </c>
      <c r="D137" s="74">
        <f t="shared" si="18"/>
        <v>-1.4558352643075735E-6</v>
      </c>
      <c r="E137" s="74">
        <f t="shared" si="19"/>
        <v>-2.1414226036751533E-5</v>
      </c>
      <c r="F137" s="118">
        <f t="shared" si="20"/>
        <v>1.4251504605479122E-5</v>
      </c>
      <c r="G137" s="118">
        <f t="shared" si="21"/>
        <v>-1.4558352643075735E-6</v>
      </c>
      <c r="H137" s="103">
        <f t="shared" si="11"/>
        <v>-8.3413216311136655E-5</v>
      </c>
      <c r="I137" s="103">
        <f t="shared" si="12"/>
        <v>2.7663483344806939E-2</v>
      </c>
      <c r="J137" s="103">
        <f t="shared" si="13"/>
        <v>-0.31232033925190372</v>
      </c>
      <c r="K137" s="103">
        <f t="shared" si="14"/>
        <v>0.33084979226781119</v>
      </c>
      <c r="L137" s="103">
        <f t="shared" si="15"/>
        <v>-9.1922204705340335E-2</v>
      </c>
    </row>
    <row r="138" spans="1:12">
      <c r="A138">
        <v>125</v>
      </c>
      <c r="B138" s="118">
        <f t="shared" si="16"/>
        <v>4.5729268344625915E-2</v>
      </c>
      <c r="C138" s="118">
        <f t="shared" si="17"/>
        <v>2.8085694141060278E-7</v>
      </c>
      <c r="D138" s="74">
        <f t="shared" si="18"/>
        <v>-1.4277495701665133E-6</v>
      </c>
      <c r="E138" s="74">
        <f t="shared" si="19"/>
        <v>-1.8982923557538713E-5</v>
      </c>
      <c r="F138" s="118">
        <f t="shared" si="20"/>
        <v>1.235321224972525E-5</v>
      </c>
      <c r="G138" s="118">
        <f t="shared" si="21"/>
        <v>-1.4277495701665133E-6</v>
      </c>
      <c r="H138" s="103">
        <f t="shared" si="11"/>
        <v>-8.1804024572158603E-5</v>
      </c>
      <c r="I138" s="103">
        <f t="shared" si="12"/>
        <v>4.9992535571087293E-2</v>
      </c>
      <c r="J138" s="103">
        <f t="shared" si="13"/>
        <v>-0.30629511528782211</v>
      </c>
      <c r="K138" s="103">
        <f t="shared" si="14"/>
        <v>0.29328616896397314</v>
      </c>
      <c r="L138" s="103">
        <f t="shared" si="15"/>
        <v>-7.9678219010727871E-2</v>
      </c>
    </row>
    <row r="139" spans="1:12">
      <c r="A139">
        <v>126</v>
      </c>
      <c r="B139" s="118">
        <f t="shared" si="16"/>
        <v>4.2694629763489547E-2</v>
      </c>
      <c r="C139" s="118">
        <f t="shared" si="17"/>
        <v>3.8025091383451529E-7</v>
      </c>
      <c r="D139" s="74">
        <f t="shared" si="18"/>
        <v>-1.3897244787830617E-6</v>
      </c>
      <c r="E139" s="74">
        <f t="shared" si="19"/>
        <v>-1.679804729936435E-5</v>
      </c>
      <c r="F139" s="118">
        <f t="shared" si="20"/>
        <v>1.0673407519788815E-5</v>
      </c>
      <c r="G139" s="118">
        <f t="shared" si="21"/>
        <v>-1.3897244787830617E-6</v>
      </c>
      <c r="H139" s="103">
        <f t="shared" si="11"/>
        <v>-7.9625347320287559E-5</v>
      </c>
      <c r="I139" s="103">
        <f t="shared" si="12"/>
        <v>6.7684662662543721E-2</v>
      </c>
      <c r="J139" s="103">
        <f t="shared" si="13"/>
        <v>-0.29813759243333021</v>
      </c>
      <c r="K139" s="103">
        <f t="shared" si="14"/>
        <v>0.25952983077517922</v>
      </c>
      <c r="L139" s="103">
        <f t="shared" si="15"/>
        <v>-6.8843478502637862E-2</v>
      </c>
    </row>
    <row r="140" spans="1:12">
      <c r="A140">
        <v>127</v>
      </c>
      <c r="B140" s="118">
        <f t="shared" si="16"/>
        <v>3.9766577498245137E-2</v>
      </c>
      <c r="C140" s="118">
        <f t="shared" si="17"/>
        <v>4.5733598239264289E-7</v>
      </c>
      <c r="D140" s="74">
        <f t="shared" si="18"/>
        <v>-1.3439908805437974E-6</v>
      </c>
      <c r="E140" s="74">
        <f t="shared" si="19"/>
        <v>-1.4837375870355531E-5</v>
      </c>
      <c r="F140" s="118">
        <f t="shared" si="20"/>
        <v>9.1896699327532605E-6</v>
      </c>
      <c r="G140" s="118">
        <f t="shared" si="21"/>
        <v>-1.3439908805437974E-6</v>
      </c>
      <c r="H140" s="103">
        <f t="shared" si="11"/>
        <v>-7.7005005159230789E-5</v>
      </c>
      <c r="I140" s="103">
        <f t="shared" si="12"/>
        <v>8.1405804865890441E-2</v>
      </c>
      <c r="J140" s="103">
        <f t="shared" si="13"/>
        <v>-0.28832636360306085</v>
      </c>
      <c r="K140" s="103">
        <f t="shared" si="14"/>
        <v>0.22923745719699296</v>
      </c>
      <c r="L140" s="103">
        <f t="shared" si="15"/>
        <v>-5.9273371066258532E-2</v>
      </c>
    </row>
    <row r="141" spans="1:12">
      <c r="A141">
        <v>128</v>
      </c>
      <c r="B141" s="118">
        <f t="shared" si="16"/>
        <v>3.6956472606435989E-2</v>
      </c>
      <c r="C141" s="118">
        <f t="shared" si="17"/>
        <v>5.1540102173229013E-7</v>
      </c>
      <c r="D141" s="74">
        <f t="shared" si="18"/>
        <v>-1.2924507783705683E-6</v>
      </c>
      <c r="E141" s="74">
        <f t="shared" si="19"/>
        <v>-1.3080404777267785E-5</v>
      </c>
      <c r="F141" s="118">
        <f t="shared" si="20"/>
        <v>7.8816294550264823E-6</v>
      </c>
      <c r="G141" s="118">
        <f t="shared" si="21"/>
        <v>-1.2924507783705683E-6</v>
      </c>
      <c r="H141" s="103">
        <f t="shared" ref="H141" si="22">D141*360/(2*PI())</f>
        <v>-7.4051974829031705E-5</v>
      </c>
      <c r="I141" s="103">
        <f t="shared" ref="I141" si="23">C141*$V$5</f>
        <v>9.1741381868347641E-2</v>
      </c>
      <c r="J141" s="103">
        <f t="shared" ref="J141" si="24">D141*$V$4</f>
        <v>-0.27726946548383802</v>
      </c>
      <c r="K141" s="103">
        <f t="shared" ref="K141" si="25">E141*$V$3</f>
        <v>0.20209225380878729</v>
      </c>
      <c r="L141" s="103">
        <f t="shared" ref="L141" si="26">F141*$V$2</f>
        <v>-5.0836509984920814E-2</v>
      </c>
    </row>
  </sheetData>
  <pageMargins left="0.75" right="0.75" top="1" bottom="1" header="0.5" footer="0.5"/>
  <pageSetup paperSize="9" orientation="portrait" horizontalDpi="4294967292" verticalDpi="4294967292"/>
  <ignoredErrors>
    <ignoredError sqref="E13:E25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workbookViewId="0">
      <selection activeCell="O2" sqref="O2"/>
    </sheetView>
  </sheetViews>
  <sheetFormatPr baseColWidth="10" defaultRowHeight="15" x14ac:dyDescent="0"/>
  <cols>
    <col min="7" max="7" width="12.1640625" bestFit="1" customWidth="1"/>
  </cols>
  <sheetData>
    <row r="1" spans="1:15">
      <c r="A1" s="171" t="s">
        <v>340</v>
      </c>
      <c r="E1" t="s">
        <v>341</v>
      </c>
      <c r="F1" t="s">
        <v>350</v>
      </c>
      <c r="J1" s="194" t="s">
        <v>346</v>
      </c>
      <c r="K1" s="195">
        <v>0.1</v>
      </c>
      <c r="M1" s="194" t="s">
        <v>346</v>
      </c>
      <c r="N1" s="195">
        <v>0</v>
      </c>
      <c r="O1" t="s">
        <v>363</v>
      </c>
    </row>
    <row r="2" spans="1:15" ht="16" thickBot="1">
      <c r="E2" t="s">
        <v>342</v>
      </c>
      <c r="F2" t="s">
        <v>349</v>
      </c>
      <c r="J2" s="165" t="s">
        <v>347</v>
      </c>
      <c r="K2" s="197">
        <v>0.9</v>
      </c>
      <c r="M2" s="164" t="s">
        <v>102</v>
      </c>
      <c r="N2" s="196">
        <v>0</v>
      </c>
    </row>
    <row r="3" spans="1:15">
      <c r="E3" t="s">
        <v>344</v>
      </c>
      <c r="G3" t="s">
        <v>345</v>
      </c>
      <c r="J3" s="6" t="s">
        <v>362</v>
      </c>
      <c r="K3" s="6"/>
      <c r="M3" s="164" t="s">
        <v>347</v>
      </c>
      <c r="N3" s="196">
        <v>0</v>
      </c>
    </row>
    <row r="4" spans="1:15" ht="16" thickBot="1">
      <c r="J4" s="198"/>
      <c r="K4" s="13"/>
      <c r="M4" s="165" t="s">
        <v>348</v>
      </c>
      <c r="N4" s="197">
        <v>0</v>
      </c>
    </row>
    <row r="5" spans="1:15" ht="16" thickBot="1">
      <c r="A5" s="211" t="s">
        <v>357</v>
      </c>
      <c r="B5" s="212"/>
      <c r="C5" s="212"/>
      <c r="D5" s="213"/>
      <c r="E5" s="192" t="s">
        <v>358</v>
      </c>
      <c r="F5" s="193" t="s">
        <v>359</v>
      </c>
      <c r="G5" s="193" t="s">
        <v>359</v>
      </c>
    </row>
    <row r="6" spans="1:15">
      <c r="A6" s="65" t="s">
        <v>17</v>
      </c>
      <c r="B6" s="66" t="s">
        <v>351</v>
      </c>
      <c r="C6" s="66" t="s">
        <v>352</v>
      </c>
      <c r="D6" s="67" t="s">
        <v>353</v>
      </c>
      <c r="E6" s="178" t="s">
        <v>356</v>
      </c>
      <c r="F6" s="174" t="s">
        <v>361</v>
      </c>
      <c r="G6" s="174" t="s">
        <v>360</v>
      </c>
    </row>
    <row r="7" spans="1:15">
      <c r="A7" s="181">
        <v>-2</v>
      </c>
      <c r="B7" s="182"/>
      <c r="C7" s="183"/>
      <c r="D7" s="184">
        <v>0</v>
      </c>
      <c r="E7" s="175">
        <v>0</v>
      </c>
      <c r="F7" s="191"/>
      <c r="G7" s="191"/>
    </row>
    <row r="8" spans="1:15">
      <c r="A8" s="181">
        <v>-1</v>
      </c>
      <c r="B8" s="185">
        <v>0</v>
      </c>
      <c r="C8" s="186">
        <v>0</v>
      </c>
      <c r="D8" s="184">
        <v>0</v>
      </c>
      <c r="E8" s="175">
        <v>0</v>
      </c>
      <c r="F8" s="191"/>
      <c r="G8" s="191"/>
    </row>
    <row r="9" spans="1:15">
      <c r="A9" s="187">
        <v>0</v>
      </c>
      <c r="B9" s="77">
        <v>1</v>
      </c>
      <c r="C9" s="74">
        <f>$K$2*C8+$K$1*B9</f>
        <v>0.1</v>
      </c>
      <c r="D9" s="188">
        <f t="shared" ref="D9:D40" si="0">$N$3*D8+$N$4*D7+$N$1*B9+$N$2*B8</f>
        <v>0</v>
      </c>
      <c r="E9" s="179">
        <v>0.19677756083388584</v>
      </c>
      <c r="F9" s="176">
        <f>E9-C9</f>
        <v>9.6777560833885834E-2</v>
      </c>
      <c r="G9" s="176">
        <f>E9-D9</f>
        <v>0.19677756083388584</v>
      </c>
    </row>
    <row r="10" spans="1:15">
      <c r="A10" s="187">
        <v>1</v>
      </c>
      <c r="B10" s="77">
        <v>1</v>
      </c>
      <c r="C10" s="74">
        <f t="shared" ref="C10:C73" si="1">$K$2*C9+$K$1*B10</f>
        <v>0.19</v>
      </c>
      <c r="D10" s="188">
        <f t="shared" si="0"/>
        <v>0</v>
      </c>
      <c r="E10" s="179">
        <v>0.25750334274853215</v>
      </c>
      <c r="F10" s="176">
        <f t="shared" ref="F10:F73" si="2">E10-C10</f>
        <v>6.7503342748532147E-2</v>
      </c>
      <c r="G10" s="176">
        <f t="shared" ref="G10:G73" si="3">E10-D10</f>
        <v>0.25750334274853215</v>
      </c>
    </row>
    <row r="11" spans="1:15">
      <c r="A11" s="187">
        <v>2</v>
      </c>
      <c r="B11" s="77">
        <v>1</v>
      </c>
      <c r="C11" s="74">
        <f t="shared" si="1"/>
        <v>0.27100000000000002</v>
      </c>
      <c r="D11" s="188">
        <f t="shared" si="0"/>
        <v>0</v>
      </c>
      <c r="E11" s="179">
        <v>0.32276865572751817</v>
      </c>
      <c r="F11" s="176">
        <f t="shared" si="2"/>
        <v>5.1768655727518154E-2</v>
      </c>
      <c r="G11" s="176">
        <f t="shared" si="3"/>
        <v>0.32276865572751817</v>
      </c>
    </row>
    <row r="12" spans="1:15">
      <c r="A12" s="187">
        <v>3</v>
      </c>
      <c r="B12" s="77">
        <v>1</v>
      </c>
      <c r="C12" s="74">
        <f t="shared" si="1"/>
        <v>0.34390000000000004</v>
      </c>
      <c r="D12" s="188">
        <f t="shared" si="0"/>
        <v>0</v>
      </c>
      <c r="E12" s="179">
        <v>0.38624168405495385</v>
      </c>
      <c r="F12" s="176">
        <f t="shared" si="2"/>
        <v>4.234168405495381E-2</v>
      </c>
      <c r="G12" s="176">
        <f t="shared" si="3"/>
        <v>0.38624168405495385</v>
      </c>
    </row>
    <row r="13" spans="1:15">
      <c r="A13" s="187">
        <v>4</v>
      </c>
      <c r="B13" s="77">
        <v>1</v>
      </c>
      <c r="C13" s="74">
        <f t="shared" si="1"/>
        <v>0.40951000000000004</v>
      </c>
      <c r="D13" s="188">
        <f t="shared" si="0"/>
        <v>0</v>
      </c>
      <c r="E13" s="179">
        <v>0.44106134027429844</v>
      </c>
      <c r="F13" s="176">
        <f t="shared" si="2"/>
        <v>3.1551340274298401E-2</v>
      </c>
      <c r="G13" s="176">
        <f t="shared" si="3"/>
        <v>0.44106134027429844</v>
      </c>
    </row>
    <row r="14" spans="1:15">
      <c r="A14" s="187">
        <v>5</v>
      </c>
      <c r="B14" s="77">
        <v>1</v>
      </c>
      <c r="C14" s="74">
        <f t="shared" si="1"/>
        <v>0.46855900000000006</v>
      </c>
      <c r="D14" s="188">
        <f t="shared" si="0"/>
        <v>0</v>
      </c>
      <c r="E14" s="179">
        <v>0.49283308551359173</v>
      </c>
      <c r="F14" s="176">
        <f t="shared" si="2"/>
        <v>2.427408551359167E-2</v>
      </c>
      <c r="G14" s="176">
        <f t="shared" si="3"/>
        <v>0.49283308551359173</v>
      </c>
    </row>
    <row r="15" spans="1:15">
      <c r="A15" s="187">
        <v>6</v>
      </c>
      <c r="B15" s="77">
        <v>1</v>
      </c>
      <c r="C15" s="74">
        <f t="shared" si="1"/>
        <v>0.52170310000000009</v>
      </c>
      <c r="D15" s="188">
        <f t="shared" si="0"/>
        <v>0</v>
      </c>
      <c r="E15" s="179">
        <v>0.53675908188513199</v>
      </c>
      <c r="F15" s="176">
        <f t="shared" si="2"/>
        <v>1.5055981885131908E-2</v>
      </c>
      <c r="G15" s="176">
        <f t="shared" si="3"/>
        <v>0.53675908188513199</v>
      </c>
    </row>
    <row r="16" spans="1:15">
      <c r="A16" s="187">
        <v>7</v>
      </c>
      <c r="B16" s="77">
        <v>1</v>
      </c>
      <c r="C16" s="74">
        <f t="shared" si="1"/>
        <v>0.56953279000000012</v>
      </c>
      <c r="D16" s="188">
        <f t="shared" si="0"/>
        <v>0</v>
      </c>
      <c r="E16" s="179">
        <v>0.58170588390214362</v>
      </c>
      <c r="F16" s="176">
        <f t="shared" si="2"/>
        <v>1.2173093902143495E-2</v>
      </c>
      <c r="G16" s="176">
        <f t="shared" si="3"/>
        <v>0.58170588390214362</v>
      </c>
    </row>
    <row r="17" spans="1:8">
      <c r="A17" s="187">
        <v>8</v>
      </c>
      <c r="B17" s="77">
        <v>1</v>
      </c>
      <c r="C17" s="74">
        <f t="shared" si="1"/>
        <v>0.61257951100000008</v>
      </c>
      <c r="D17" s="188">
        <f t="shared" si="0"/>
        <v>0</v>
      </c>
      <c r="E17" s="179">
        <v>0.61951834488723589</v>
      </c>
      <c r="F17" s="176">
        <f t="shared" si="2"/>
        <v>6.938833887235818E-3</v>
      </c>
      <c r="G17" s="176">
        <f t="shared" si="3"/>
        <v>0.61951834488723589</v>
      </c>
    </row>
    <row r="18" spans="1:8">
      <c r="A18" s="187">
        <v>9</v>
      </c>
      <c r="B18" s="77">
        <v>1</v>
      </c>
      <c r="C18" s="74">
        <f t="shared" si="1"/>
        <v>0.65132155990000007</v>
      </c>
      <c r="D18" s="188">
        <f t="shared" si="0"/>
        <v>0</v>
      </c>
      <c r="E18" s="179">
        <v>0.65190897124609104</v>
      </c>
      <c r="F18" s="176">
        <f t="shared" si="2"/>
        <v>5.8741134609097134E-4</v>
      </c>
      <c r="G18" s="176">
        <f t="shared" si="3"/>
        <v>0.65190897124609104</v>
      </c>
    </row>
    <row r="19" spans="1:8">
      <c r="A19" s="187">
        <v>10</v>
      </c>
      <c r="B19" s="77">
        <v>1</v>
      </c>
      <c r="C19" s="74">
        <f t="shared" si="1"/>
        <v>0.68618940391000005</v>
      </c>
      <c r="D19" s="188">
        <f t="shared" si="0"/>
        <v>0</v>
      </c>
      <c r="E19" s="179">
        <v>0.67914762907136128</v>
      </c>
      <c r="F19" s="176">
        <f t="shared" si="2"/>
        <v>-7.0417748386387702E-3</v>
      </c>
      <c r="G19" s="176">
        <f t="shared" si="3"/>
        <v>0.67914762907136128</v>
      </c>
    </row>
    <row r="20" spans="1:8">
      <c r="A20" s="187">
        <v>11</v>
      </c>
      <c r="B20" s="77">
        <v>1</v>
      </c>
      <c r="C20" s="74">
        <f t="shared" si="1"/>
        <v>0.717570463519</v>
      </c>
      <c r="D20" s="188">
        <f t="shared" si="0"/>
        <v>0</v>
      </c>
      <c r="E20" s="179">
        <v>0.7097002325786097</v>
      </c>
      <c r="F20" s="176">
        <f t="shared" si="2"/>
        <v>-7.8702309403902992E-3</v>
      </c>
      <c r="G20" s="176">
        <f t="shared" si="3"/>
        <v>0.7097002325786097</v>
      </c>
    </row>
    <row r="21" spans="1:8">
      <c r="A21" s="187">
        <v>12</v>
      </c>
      <c r="B21" s="77">
        <v>1</v>
      </c>
      <c r="C21" s="74">
        <f t="shared" si="1"/>
        <v>0.74581341716710003</v>
      </c>
      <c r="D21" s="188">
        <f t="shared" si="0"/>
        <v>0</v>
      </c>
      <c r="E21" s="179">
        <v>0.73493294706254064</v>
      </c>
      <c r="F21" s="176">
        <f t="shared" si="2"/>
        <v>-1.0880470104559392E-2</v>
      </c>
      <c r="G21" s="176">
        <f t="shared" si="3"/>
        <v>0.73493294706254064</v>
      </c>
    </row>
    <row r="22" spans="1:8">
      <c r="A22" s="187">
        <v>13</v>
      </c>
      <c r="B22" s="77">
        <v>1</v>
      </c>
      <c r="C22" s="74">
        <f t="shared" si="1"/>
        <v>0.77123207545039008</v>
      </c>
      <c r="D22" s="188">
        <f t="shared" si="0"/>
        <v>0</v>
      </c>
      <c r="E22" s="179">
        <v>0.76161766202273917</v>
      </c>
      <c r="F22" s="176">
        <f t="shared" si="2"/>
        <v>-9.614413427650903E-3</v>
      </c>
      <c r="G22" s="176">
        <f t="shared" si="3"/>
        <v>0.76161766202273917</v>
      </c>
    </row>
    <row r="23" spans="1:8">
      <c r="A23" s="187">
        <v>14</v>
      </c>
      <c r="B23" s="77">
        <v>1</v>
      </c>
      <c r="C23" s="74">
        <f t="shared" si="1"/>
        <v>0.79410886790535107</v>
      </c>
      <c r="D23" s="188">
        <f t="shared" si="0"/>
        <v>0</v>
      </c>
      <c r="E23" s="179">
        <v>0.7823747786772044</v>
      </c>
      <c r="F23" s="176">
        <f t="shared" si="2"/>
        <v>-1.1734089228146671E-2</v>
      </c>
      <c r="G23" s="176">
        <f t="shared" si="3"/>
        <v>0.7823747786772044</v>
      </c>
    </row>
    <row r="24" spans="1:8">
      <c r="A24" s="187">
        <v>15</v>
      </c>
      <c r="B24" s="77">
        <v>1</v>
      </c>
      <c r="C24" s="74">
        <f t="shared" si="1"/>
        <v>0.81469798111481595</v>
      </c>
      <c r="D24" s="188">
        <f t="shared" si="0"/>
        <v>0</v>
      </c>
      <c r="E24" s="179">
        <v>0.8033202691078033</v>
      </c>
      <c r="F24" s="176">
        <f t="shared" si="2"/>
        <v>-1.1377712007012653E-2</v>
      </c>
      <c r="G24" s="176">
        <f t="shared" si="3"/>
        <v>0.8033202691078033</v>
      </c>
    </row>
    <row r="25" spans="1:8">
      <c r="A25" s="187">
        <v>16</v>
      </c>
      <c r="B25" s="77">
        <v>1</v>
      </c>
      <c r="C25" s="74">
        <f t="shared" si="1"/>
        <v>0.83322818300333434</v>
      </c>
      <c r="D25" s="188">
        <f t="shared" si="0"/>
        <v>0</v>
      </c>
      <c r="E25" s="179">
        <v>0.82018926322169461</v>
      </c>
      <c r="F25" s="176">
        <f t="shared" si="2"/>
        <v>-1.3038919781639735E-2</v>
      </c>
      <c r="G25" s="176">
        <f t="shared" si="3"/>
        <v>0.82018926322169461</v>
      </c>
    </row>
    <row r="26" spans="1:8">
      <c r="A26" s="187">
        <v>17</v>
      </c>
      <c r="B26" s="77">
        <v>1</v>
      </c>
      <c r="C26" s="74">
        <f t="shared" si="1"/>
        <v>0.84990536470300093</v>
      </c>
      <c r="D26" s="188">
        <f t="shared" si="0"/>
        <v>0</v>
      </c>
      <c r="E26" s="179">
        <v>0.83363548901784101</v>
      </c>
      <c r="F26" s="176">
        <f t="shared" si="2"/>
        <v>-1.6269875685159918E-2</v>
      </c>
      <c r="G26" s="176">
        <f t="shared" si="3"/>
        <v>0.83363548901784101</v>
      </c>
    </row>
    <row r="27" spans="1:8">
      <c r="A27" s="187">
        <v>18</v>
      </c>
      <c r="B27" s="77">
        <v>1</v>
      </c>
      <c r="C27" s="74">
        <f t="shared" si="1"/>
        <v>0.86491482823270083</v>
      </c>
      <c r="D27" s="188">
        <f t="shared" si="0"/>
        <v>0</v>
      </c>
      <c r="E27" s="179">
        <v>0.84399652347844523</v>
      </c>
      <c r="F27" s="176">
        <f t="shared" si="2"/>
        <v>-2.0918304754255601E-2</v>
      </c>
      <c r="G27" s="176">
        <f t="shared" si="3"/>
        <v>0.84399652347844523</v>
      </c>
    </row>
    <row r="28" spans="1:8">
      <c r="A28" s="187">
        <v>19</v>
      </c>
      <c r="B28" s="77">
        <v>1</v>
      </c>
      <c r="C28" s="74">
        <f t="shared" si="1"/>
        <v>0.87842334540943079</v>
      </c>
      <c r="D28" s="188">
        <f t="shared" si="0"/>
        <v>0</v>
      </c>
      <c r="E28" s="179">
        <v>0.85981895721169577</v>
      </c>
      <c r="F28" s="176">
        <f t="shared" si="2"/>
        <v>-1.8604388197735022E-2</v>
      </c>
      <c r="G28" s="176">
        <f t="shared" si="3"/>
        <v>0.85981895721169577</v>
      </c>
    </row>
    <row r="29" spans="1:8">
      <c r="A29" s="187">
        <v>20</v>
      </c>
      <c r="B29" s="77">
        <v>1</v>
      </c>
      <c r="C29" s="74">
        <f t="shared" si="1"/>
        <v>0.89058101086848773</v>
      </c>
      <c r="D29" s="188">
        <f t="shared" si="0"/>
        <v>0</v>
      </c>
      <c r="E29" s="179">
        <v>0.87228161697345064</v>
      </c>
      <c r="F29" s="176">
        <f t="shared" si="2"/>
        <v>-1.8299393895037097E-2</v>
      </c>
      <c r="G29" s="176">
        <f t="shared" si="3"/>
        <v>0.87228161697345064</v>
      </c>
    </row>
    <row r="30" spans="1:8">
      <c r="A30" s="187">
        <v>21</v>
      </c>
      <c r="B30" s="77">
        <v>1</v>
      </c>
      <c r="C30" s="74">
        <f t="shared" si="1"/>
        <v>0.90152290978163896</v>
      </c>
      <c r="D30" s="188">
        <f t="shared" si="0"/>
        <v>0</v>
      </c>
      <c r="E30" s="179">
        <v>0.88387023389988173</v>
      </c>
      <c r="F30" s="176">
        <f t="shared" si="2"/>
        <v>-1.7652675881757229E-2</v>
      </c>
      <c r="G30" s="176">
        <f t="shared" si="3"/>
        <v>0.88387023389988173</v>
      </c>
    </row>
    <row r="31" spans="1:8">
      <c r="A31" s="187">
        <v>22</v>
      </c>
      <c r="B31" s="77">
        <v>1</v>
      </c>
      <c r="C31" s="74">
        <f t="shared" si="1"/>
        <v>0.91137061880347503</v>
      </c>
      <c r="D31" s="188">
        <f t="shared" si="0"/>
        <v>0</v>
      </c>
      <c r="E31" s="179">
        <v>0.89223089345469264</v>
      </c>
      <c r="F31" s="176">
        <f t="shared" si="2"/>
        <v>-1.9139725348782388E-2</v>
      </c>
      <c r="G31" s="176">
        <f t="shared" si="3"/>
        <v>0.89223089345469264</v>
      </c>
      <c r="H31" s="173"/>
    </row>
    <row r="32" spans="1:8">
      <c r="A32" s="187">
        <v>23</v>
      </c>
      <c r="B32" s="77">
        <v>1</v>
      </c>
      <c r="C32" s="74">
        <f t="shared" si="1"/>
        <v>0.92023355692312747</v>
      </c>
      <c r="D32" s="188">
        <f t="shared" si="0"/>
        <v>0</v>
      </c>
      <c r="E32" s="179">
        <v>0.90196832716104414</v>
      </c>
      <c r="F32" s="176">
        <f t="shared" si="2"/>
        <v>-1.8265229762083335E-2</v>
      </c>
      <c r="G32" s="176">
        <f t="shared" si="3"/>
        <v>0.90196832716104414</v>
      </c>
    </row>
    <row r="33" spans="1:7">
      <c r="A33" s="187">
        <v>24</v>
      </c>
      <c r="B33" s="77">
        <v>1</v>
      </c>
      <c r="C33" s="74">
        <f t="shared" si="1"/>
        <v>0.92821020123081477</v>
      </c>
      <c r="D33" s="188">
        <f t="shared" si="0"/>
        <v>0</v>
      </c>
      <c r="E33" s="179">
        <v>0.91501609842837139</v>
      </c>
      <c r="F33" s="176">
        <f t="shared" si="2"/>
        <v>-1.3194102802443375E-2</v>
      </c>
      <c r="G33" s="176">
        <f t="shared" si="3"/>
        <v>0.91501609842837139</v>
      </c>
    </row>
    <row r="34" spans="1:7">
      <c r="A34" s="187">
        <v>25</v>
      </c>
      <c r="B34" s="77">
        <v>1</v>
      </c>
      <c r="C34" s="74">
        <f t="shared" si="1"/>
        <v>0.93538918110773328</v>
      </c>
      <c r="D34" s="188">
        <f t="shared" si="0"/>
        <v>0</v>
      </c>
      <c r="E34" s="179">
        <v>0.92565553353898034</v>
      </c>
      <c r="F34" s="176">
        <f t="shared" si="2"/>
        <v>-9.7336475687529456E-3</v>
      </c>
      <c r="G34" s="176">
        <f t="shared" si="3"/>
        <v>0.92565553353898034</v>
      </c>
    </row>
    <row r="35" spans="1:7">
      <c r="A35" s="187">
        <v>26</v>
      </c>
      <c r="B35" s="77">
        <v>1</v>
      </c>
      <c r="C35" s="74">
        <f t="shared" si="1"/>
        <v>0.94185026299695995</v>
      </c>
      <c r="D35" s="188">
        <f t="shared" si="0"/>
        <v>0</v>
      </c>
      <c r="E35" s="179">
        <v>0.93552544257783454</v>
      </c>
      <c r="F35" s="176">
        <f t="shared" si="2"/>
        <v>-6.3248204191254098E-3</v>
      </c>
      <c r="G35" s="176">
        <f t="shared" si="3"/>
        <v>0.93552544257783454</v>
      </c>
    </row>
    <row r="36" spans="1:7">
      <c r="A36" s="187">
        <v>27</v>
      </c>
      <c r="B36" s="77">
        <v>1</v>
      </c>
      <c r="C36" s="74">
        <f t="shared" si="1"/>
        <v>0.94766523669726399</v>
      </c>
      <c r="D36" s="188">
        <f t="shared" si="0"/>
        <v>0</v>
      </c>
      <c r="E36" s="179">
        <v>0.94180650616659467</v>
      </c>
      <c r="F36" s="176">
        <f t="shared" si="2"/>
        <v>-5.8587305306693205E-3</v>
      </c>
      <c r="G36" s="176">
        <f t="shared" si="3"/>
        <v>0.94180650616659467</v>
      </c>
    </row>
    <row r="37" spans="1:7">
      <c r="A37" s="187">
        <v>28</v>
      </c>
      <c r="B37" s="77">
        <v>1</v>
      </c>
      <c r="C37" s="74">
        <f t="shared" si="1"/>
        <v>0.95289871302753759</v>
      </c>
      <c r="D37" s="188">
        <f t="shared" si="0"/>
        <v>0</v>
      </c>
      <c r="E37" s="179">
        <v>0.94593530125524328</v>
      </c>
      <c r="F37" s="176">
        <f t="shared" si="2"/>
        <v>-6.9634117722943145E-3</v>
      </c>
      <c r="G37" s="176">
        <f t="shared" si="3"/>
        <v>0.94593530125524328</v>
      </c>
    </row>
    <row r="38" spans="1:7">
      <c r="A38" s="187">
        <v>29</v>
      </c>
      <c r="B38" s="77">
        <v>1</v>
      </c>
      <c r="C38" s="74">
        <f t="shared" si="1"/>
        <v>0.95760884172478378</v>
      </c>
      <c r="D38" s="188">
        <f t="shared" si="0"/>
        <v>0</v>
      </c>
      <c r="E38" s="179">
        <v>0.95270555073751262</v>
      </c>
      <c r="F38" s="176">
        <f t="shared" si="2"/>
        <v>-4.9032909872711583E-3</v>
      </c>
      <c r="G38" s="176">
        <f t="shared" si="3"/>
        <v>0.95270555073751262</v>
      </c>
    </row>
    <row r="39" spans="1:7">
      <c r="A39" s="187">
        <v>30</v>
      </c>
      <c r="B39" s="77">
        <v>1</v>
      </c>
      <c r="C39" s="74">
        <f t="shared" si="1"/>
        <v>0.96184795755230534</v>
      </c>
      <c r="D39" s="188">
        <f t="shared" si="0"/>
        <v>0</v>
      </c>
      <c r="E39" s="179">
        <v>0.96035626778375494</v>
      </c>
      <c r="F39" s="176">
        <f t="shared" si="2"/>
        <v>-1.4916897685504082E-3</v>
      </c>
      <c r="G39" s="176">
        <f t="shared" si="3"/>
        <v>0.96035626778375494</v>
      </c>
    </row>
    <row r="40" spans="1:7">
      <c r="A40" s="187">
        <v>31</v>
      </c>
      <c r="B40" s="77">
        <v>1</v>
      </c>
      <c r="C40" s="74">
        <f t="shared" si="1"/>
        <v>0.96566316179707479</v>
      </c>
      <c r="D40" s="188">
        <f t="shared" si="0"/>
        <v>0</v>
      </c>
      <c r="E40" s="179">
        <v>0.95961919702425302</v>
      </c>
      <c r="F40" s="176">
        <f t="shared" si="2"/>
        <v>-6.0439647728217638E-3</v>
      </c>
      <c r="G40" s="176">
        <f t="shared" si="3"/>
        <v>0.95961919702425302</v>
      </c>
    </row>
    <row r="41" spans="1:7">
      <c r="A41" s="187">
        <v>32</v>
      </c>
      <c r="B41" s="77">
        <v>1</v>
      </c>
      <c r="C41" s="74">
        <f t="shared" si="1"/>
        <v>0.96909684561736731</v>
      </c>
      <c r="D41" s="188">
        <f t="shared" ref="D41:D72" si="4">$N$3*D40+$N$4*D39+$N$1*B41+$N$2*B40</f>
        <v>0</v>
      </c>
      <c r="E41" s="179">
        <v>0.96610374964136347</v>
      </c>
      <c r="F41" s="176">
        <f t="shared" si="2"/>
        <v>-2.9930959760038345E-3</v>
      </c>
      <c r="G41" s="176">
        <f t="shared" si="3"/>
        <v>0.96610374964136347</v>
      </c>
    </row>
    <row r="42" spans="1:7">
      <c r="A42" s="187">
        <v>33</v>
      </c>
      <c r="B42" s="77">
        <v>1</v>
      </c>
      <c r="C42" s="74">
        <f t="shared" si="1"/>
        <v>0.97218716105563052</v>
      </c>
      <c r="D42" s="188">
        <f t="shared" si="4"/>
        <v>0</v>
      </c>
      <c r="E42" s="179">
        <v>0.96765231838248089</v>
      </c>
      <c r="F42" s="176">
        <f t="shared" si="2"/>
        <v>-4.5348426731496305E-3</v>
      </c>
      <c r="G42" s="176">
        <f t="shared" si="3"/>
        <v>0.96765231838248089</v>
      </c>
    </row>
    <row r="43" spans="1:7">
      <c r="A43" s="187">
        <v>34</v>
      </c>
      <c r="B43" s="77">
        <v>1</v>
      </c>
      <c r="C43" s="74">
        <f t="shared" si="1"/>
        <v>0.97496844495006751</v>
      </c>
      <c r="D43" s="188">
        <f t="shared" si="4"/>
        <v>0</v>
      </c>
      <c r="E43" s="179">
        <v>0.97461671208870682</v>
      </c>
      <c r="F43" s="176">
        <f t="shared" si="2"/>
        <v>-3.5173286136069848E-4</v>
      </c>
      <c r="G43" s="176">
        <f t="shared" si="3"/>
        <v>0.97461671208870682</v>
      </c>
    </row>
    <row r="44" spans="1:7">
      <c r="A44" s="187">
        <v>35</v>
      </c>
      <c r="B44" s="77">
        <v>1</v>
      </c>
      <c r="C44" s="74">
        <f t="shared" si="1"/>
        <v>0.97747160045506076</v>
      </c>
      <c r="D44" s="188">
        <f t="shared" si="4"/>
        <v>0</v>
      </c>
      <c r="E44" s="179">
        <v>0.97952124960267883</v>
      </c>
      <c r="F44" s="176">
        <f t="shared" si="2"/>
        <v>2.0496491476180712E-3</v>
      </c>
      <c r="G44" s="176">
        <f t="shared" si="3"/>
        <v>0.97952124960267883</v>
      </c>
    </row>
    <row r="45" spans="1:7">
      <c r="A45" s="187">
        <v>36</v>
      </c>
      <c r="B45" s="77">
        <v>1</v>
      </c>
      <c r="C45" s="74">
        <f t="shared" si="1"/>
        <v>0.97972444040955464</v>
      </c>
      <c r="D45" s="188">
        <f t="shared" si="4"/>
        <v>0</v>
      </c>
      <c r="E45" s="179">
        <v>0.98252342126533276</v>
      </c>
      <c r="F45" s="176">
        <f t="shared" si="2"/>
        <v>2.7989808557781215E-3</v>
      </c>
      <c r="G45" s="176">
        <f t="shared" si="3"/>
        <v>0.98252342126533276</v>
      </c>
    </row>
    <row r="46" spans="1:7">
      <c r="A46" s="187">
        <v>37</v>
      </c>
      <c r="B46" s="77">
        <v>1</v>
      </c>
      <c r="C46" s="74">
        <f t="shared" si="1"/>
        <v>0.98175199636859922</v>
      </c>
      <c r="D46" s="188">
        <f t="shared" si="4"/>
        <v>0</v>
      </c>
      <c r="E46" s="179">
        <v>0.98692451520994995</v>
      </c>
      <c r="F46" s="176">
        <f t="shared" si="2"/>
        <v>5.1725188413507261E-3</v>
      </c>
      <c r="G46" s="176">
        <f t="shared" si="3"/>
        <v>0.98692451520994995</v>
      </c>
    </row>
    <row r="47" spans="1:7">
      <c r="A47" s="187">
        <v>38</v>
      </c>
      <c r="B47" s="77">
        <v>1</v>
      </c>
      <c r="C47" s="74">
        <f t="shared" si="1"/>
        <v>0.98357679673173926</v>
      </c>
      <c r="D47" s="188">
        <f t="shared" si="4"/>
        <v>0</v>
      </c>
      <c r="E47" s="179">
        <v>0.98285444200918615</v>
      </c>
      <c r="F47" s="176">
        <f t="shared" si="2"/>
        <v>-7.2235472255310906E-4</v>
      </c>
      <c r="G47" s="176">
        <f t="shared" si="3"/>
        <v>0.98285444200918615</v>
      </c>
    </row>
    <row r="48" spans="1:7">
      <c r="A48" s="187">
        <v>39</v>
      </c>
      <c r="B48" s="77">
        <v>1</v>
      </c>
      <c r="C48" s="74">
        <f t="shared" si="1"/>
        <v>0.98521911705856535</v>
      </c>
      <c r="D48" s="188">
        <f t="shared" si="4"/>
        <v>0</v>
      </c>
      <c r="E48" s="179">
        <v>0.9820725145618322</v>
      </c>
      <c r="F48" s="176">
        <f t="shared" si="2"/>
        <v>-3.146602496733153E-3</v>
      </c>
      <c r="G48" s="176">
        <f t="shared" si="3"/>
        <v>0.9820725145618322</v>
      </c>
    </row>
    <row r="49" spans="1:7">
      <c r="A49" s="187">
        <v>40</v>
      </c>
      <c r="B49" s="77">
        <v>1</v>
      </c>
      <c r="C49" s="74">
        <f t="shared" si="1"/>
        <v>0.98669720535270877</v>
      </c>
      <c r="D49" s="188">
        <f t="shared" si="4"/>
        <v>0</v>
      </c>
      <c r="E49" s="179">
        <v>0.9869449090246406</v>
      </c>
      <c r="F49" s="176">
        <f t="shared" si="2"/>
        <v>2.4770367193183151E-4</v>
      </c>
      <c r="G49" s="176">
        <f t="shared" si="3"/>
        <v>0.9869449090246406</v>
      </c>
    </row>
    <row r="50" spans="1:7">
      <c r="A50" s="187">
        <v>41</v>
      </c>
      <c r="B50" s="77">
        <v>1</v>
      </c>
      <c r="C50" s="74">
        <f t="shared" si="1"/>
        <v>0.98802748481743785</v>
      </c>
      <c r="D50" s="188">
        <f t="shared" si="4"/>
        <v>0</v>
      </c>
      <c r="E50" s="179">
        <v>0.99117186592088491</v>
      </c>
      <c r="F50" s="176">
        <f t="shared" si="2"/>
        <v>3.1443811034470581E-3</v>
      </c>
      <c r="G50" s="176">
        <f t="shared" si="3"/>
        <v>0.99117186592088491</v>
      </c>
    </row>
    <row r="51" spans="1:7">
      <c r="A51" s="187">
        <v>42</v>
      </c>
      <c r="B51" s="77">
        <v>1</v>
      </c>
      <c r="C51" s="74">
        <f t="shared" si="1"/>
        <v>0.98922473633569408</v>
      </c>
      <c r="D51" s="188">
        <f t="shared" si="4"/>
        <v>0</v>
      </c>
      <c r="E51" s="179">
        <v>0.98802128181587034</v>
      </c>
      <c r="F51" s="176">
        <f t="shared" si="2"/>
        <v>-1.2034545198237323E-3</v>
      </c>
      <c r="G51" s="176">
        <f t="shared" si="3"/>
        <v>0.98802128181587034</v>
      </c>
    </row>
    <row r="52" spans="1:7">
      <c r="A52" s="187">
        <v>43</v>
      </c>
      <c r="B52" s="77">
        <v>1</v>
      </c>
      <c r="C52" s="74">
        <f t="shared" si="1"/>
        <v>0.99030226270212462</v>
      </c>
      <c r="D52" s="188">
        <f t="shared" si="4"/>
        <v>0</v>
      </c>
      <c r="E52" s="179">
        <v>0.98614909700227427</v>
      </c>
      <c r="F52" s="176">
        <f t="shared" si="2"/>
        <v>-4.1531656998503585E-3</v>
      </c>
      <c r="G52" s="176">
        <f t="shared" si="3"/>
        <v>0.98614909700227427</v>
      </c>
    </row>
    <row r="53" spans="1:7">
      <c r="A53" s="187">
        <v>44</v>
      </c>
      <c r="B53" s="77">
        <v>1</v>
      </c>
      <c r="C53" s="74">
        <f t="shared" si="1"/>
        <v>0.9912720364319122</v>
      </c>
      <c r="D53" s="188">
        <f t="shared" si="4"/>
        <v>0</v>
      </c>
      <c r="E53" s="179">
        <v>0.98385951799657367</v>
      </c>
      <c r="F53" s="176">
        <f t="shared" si="2"/>
        <v>-7.4125184353385221E-3</v>
      </c>
      <c r="G53" s="176">
        <f t="shared" si="3"/>
        <v>0.98385951799657367</v>
      </c>
    </row>
    <row r="54" spans="1:7">
      <c r="A54" s="187">
        <v>45</v>
      </c>
      <c r="B54" s="77">
        <v>1</v>
      </c>
      <c r="C54" s="74">
        <f t="shared" si="1"/>
        <v>0.99214483278872101</v>
      </c>
      <c r="D54" s="188">
        <f t="shared" si="4"/>
        <v>0</v>
      </c>
      <c r="E54" s="179">
        <v>0.98524030935518703</v>
      </c>
      <c r="F54" s="176">
        <f t="shared" si="2"/>
        <v>-6.9045234335339822E-3</v>
      </c>
      <c r="G54" s="176">
        <f t="shared" si="3"/>
        <v>0.98524030935518703</v>
      </c>
    </row>
    <row r="55" spans="1:7">
      <c r="A55" s="187">
        <v>46</v>
      </c>
      <c r="B55" s="77">
        <v>1</v>
      </c>
      <c r="C55" s="74">
        <f t="shared" si="1"/>
        <v>0.99293034950984893</v>
      </c>
      <c r="D55" s="188">
        <f t="shared" si="4"/>
        <v>0</v>
      </c>
      <c r="E55" s="179">
        <v>0.98516306356374783</v>
      </c>
      <c r="F55" s="176">
        <f t="shared" si="2"/>
        <v>-7.767285946101099E-3</v>
      </c>
      <c r="G55" s="176">
        <f t="shared" si="3"/>
        <v>0.98516306356374783</v>
      </c>
    </row>
    <row r="56" spans="1:7">
      <c r="A56" s="187">
        <v>47</v>
      </c>
      <c r="B56" s="77">
        <v>1</v>
      </c>
      <c r="C56" s="74">
        <f t="shared" si="1"/>
        <v>0.99363731455886406</v>
      </c>
      <c r="D56" s="188">
        <f t="shared" si="4"/>
        <v>0</v>
      </c>
      <c r="E56" s="179">
        <v>0.98252725319295975</v>
      </c>
      <c r="F56" s="176">
        <f t="shared" si="2"/>
        <v>-1.1110061365904311E-2</v>
      </c>
      <c r="G56" s="176">
        <f t="shared" si="3"/>
        <v>0.98252725319295975</v>
      </c>
    </row>
    <row r="57" spans="1:7">
      <c r="A57" s="187">
        <v>48</v>
      </c>
      <c r="B57" s="77">
        <v>1</v>
      </c>
      <c r="C57" s="74">
        <f t="shared" si="1"/>
        <v>0.99427358310297764</v>
      </c>
      <c r="D57" s="188">
        <f t="shared" si="4"/>
        <v>0</v>
      </c>
      <c r="E57" s="179">
        <v>0.98468395586028756</v>
      </c>
      <c r="F57" s="176">
        <f t="shared" si="2"/>
        <v>-9.5896272426900797E-3</v>
      </c>
      <c r="G57" s="176">
        <f t="shared" si="3"/>
        <v>0.98468395586028756</v>
      </c>
    </row>
    <row r="58" spans="1:7">
      <c r="A58" s="187">
        <v>49</v>
      </c>
      <c r="B58" s="77">
        <v>1</v>
      </c>
      <c r="C58" s="74">
        <f t="shared" si="1"/>
        <v>0.99484622479267992</v>
      </c>
      <c r="D58" s="188">
        <f t="shared" si="4"/>
        <v>0</v>
      </c>
      <c r="E58" s="179">
        <v>0.98242565767685608</v>
      </c>
      <c r="F58" s="176">
        <f t="shared" si="2"/>
        <v>-1.2420567115823844E-2</v>
      </c>
      <c r="G58" s="176">
        <f t="shared" si="3"/>
        <v>0.98242565767685608</v>
      </c>
    </row>
    <row r="59" spans="1:7">
      <c r="A59" s="187">
        <v>50</v>
      </c>
      <c r="B59" s="77">
        <v>1</v>
      </c>
      <c r="C59" s="74">
        <f t="shared" si="1"/>
        <v>0.99536160231341198</v>
      </c>
      <c r="D59" s="188">
        <f t="shared" si="4"/>
        <v>0</v>
      </c>
      <c r="E59" s="179">
        <v>0.98552501994917896</v>
      </c>
      <c r="F59" s="176">
        <f t="shared" si="2"/>
        <v>-9.8365823642330152E-3</v>
      </c>
      <c r="G59" s="176">
        <f t="shared" si="3"/>
        <v>0.98552501994917896</v>
      </c>
    </row>
    <row r="60" spans="1:7">
      <c r="A60" s="187">
        <v>51</v>
      </c>
      <c r="B60" s="77">
        <v>1</v>
      </c>
      <c r="C60" s="74">
        <f t="shared" si="1"/>
        <v>0.9958254420820708</v>
      </c>
      <c r="D60" s="188">
        <f t="shared" si="4"/>
        <v>0</v>
      </c>
      <c r="E60" s="179">
        <v>0.98690331138850185</v>
      </c>
      <c r="F60" s="176">
        <f t="shared" si="2"/>
        <v>-8.9221306935689526E-3</v>
      </c>
      <c r="G60" s="176">
        <f t="shared" si="3"/>
        <v>0.98690331138850185</v>
      </c>
    </row>
    <row r="61" spans="1:7">
      <c r="A61" s="187">
        <v>52</v>
      </c>
      <c r="B61" s="77">
        <v>1</v>
      </c>
      <c r="C61" s="74">
        <f t="shared" si="1"/>
        <v>0.99624289787386366</v>
      </c>
      <c r="D61" s="188">
        <f t="shared" si="4"/>
        <v>0</v>
      </c>
      <c r="E61" s="179">
        <v>0.99024726086322512</v>
      </c>
      <c r="F61" s="176">
        <f t="shared" si="2"/>
        <v>-5.9956370106385437E-3</v>
      </c>
      <c r="G61" s="176">
        <f t="shared" si="3"/>
        <v>0.99024726086322512</v>
      </c>
    </row>
    <row r="62" spans="1:7">
      <c r="A62" s="187">
        <v>53</v>
      </c>
      <c r="B62" s="77">
        <v>1</v>
      </c>
      <c r="C62" s="74">
        <f t="shared" si="1"/>
        <v>0.99661860808647729</v>
      </c>
      <c r="D62" s="188">
        <f t="shared" si="4"/>
        <v>0</v>
      </c>
      <c r="E62" s="179">
        <v>0.98707493494370568</v>
      </c>
      <c r="F62" s="176">
        <f t="shared" si="2"/>
        <v>-9.5436731427716026E-3</v>
      </c>
      <c r="G62" s="176">
        <f t="shared" si="3"/>
        <v>0.98707493494370568</v>
      </c>
    </row>
    <row r="63" spans="1:7">
      <c r="A63" s="187">
        <v>54</v>
      </c>
      <c r="B63" s="77">
        <v>1</v>
      </c>
      <c r="C63" s="74">
        <f t="shared" si="1"/>
        <v>0.99695674727782957</v>
      </c>
      <c r="D63" s="188">
        <f t="shared" si="4"/>
        <v>0</v>
      </c>
      <c r="E63" s="179">
        <v>0.99318948691057063</v>
      </c>
      <c r="F63" s="176">
        <f t="shared" si="2"/>
        <v>-3.76726036725894E-3</v>
      </c>
      <c r="G63" s="176">
        <f t="shared" si="3"/>
        <v>0.99318948691057063</v>
      </c>
    </row>
    <row r="64" spans="1:7">
      <c r="A64" s="187">
        <v>55</v>
      </c>
      <c r="B64" s="77">
        <v>1</v>
      </c>
      <c r="C64" s="74">
        <f t="shared" si="1"/>
        <v>0.99726107255004659</v>
      </c>
      <c r="D64" s="188">
        <f t="shared" si="4"/>
        <v>0</v>
      </c>
      <c r="E64" s="179">
        <v>0.98904787339425249</v>
      </c>
      <c r="F64" s="176">
        <f t="shared" si="2"/>
        <v>-8.2131991557941042E-3</v>
      </c>
      <c r="G64" s="176">
        <f t="shared" si="3"/>
        <v>0.98904787339425249</v>
      </c>
    </row>
    <row r="65" spans="1:7">
      <c r="A65" s="187">
        <v>56</v>
      </c>
      <c r="B65" s="77">
        <v>1</v>
      </c>
      <c r="C65" s="74">
        <f t="shared" si="1"/>
        <v>0.99753496529504193</v>
      </c>
      <c r="D65" s="188">
        <f t="shared" si="4"/>
        <v>0</v>
      </c>
      <c r="E65" s="179">
        <v>0.99294511413722264</v>
      </c>
      <c r="F65" s="176">
        <f t="shared" si="2"/>
        <v>-4.5898511578192913E-3</v>
      </c>
      <c r="G65" s="176">
        <f t="shared" si="3"/>
        <v>0.99294511413722264</v>
      </c>
    </row>
    <row r="66" spans="1:7">
      <c r="A66" s="187">
        <v>57</v>
      </c>
      <c r="B66" s="77">
        <v>1</v>
      </c>
      <c r="C66" s="74">
        <f t="shared" si="1"/>
        <v>0.99778146876553775</v>
      </c>
      <c r="D66" s="188">
        <f t="shared" si="4"/>
        <v>0</v>
      </c>
      <c r="E66" s="179">
        <v>0.99771193839389349</v>
      </c>
      <c r="F66" s="176">
        <f t="shared" si="2"/>
        <v>-6.953037164425524E-5</v>
      </c>
      <c r="G66" s="176">
        <f t="shared" si="3"/>
        <v>0.99771193839389349</v>
      </c>
    </row>
    <row r="67" spans="1:7">
      <c r="A67" s="187">
        <v>58</v>
      </c>
      <c r="B67" s="77">
        <v>1</v>
      </c>
      <c r="C67" s="74">
        <f t="shared" si="1"/>
        <v>0.998003321888984</v>
      </c>
      <c r="D67" s="188">
        <f t="shared" si="4"/>
        <v>0</v>
      </c>
      <c r="E67" s="179">
        <v>0.99321206837927467</v>
      </c>
      <c r="F67" s="176">
        <f t="shared" si="2"/>
        <v>-4.7912535097093256E-3</v>
      </c>
      <c r="G67" s="176">
        <f t="shared" si="3"/>
        <v>0.99321206837927467</v>
      </c>
    </row>
    <row r="68" spans="1:7">
      <c r="A68" s="187">
        <v>59</v>
      </c>
      <c r="B68" s="77">
        <v>1</v>
      </c>
      <c r="C68" s="74">
        <f t="shared" si="1"/>
        <v>0.99820298970008559</v>
      </c>
      <c r="D68" s="188">
        <f t="shared" si="4"/>
        <v>0</v>
      </c>
      <c r="E68" s="179">
        <v>0.99569895365967198</v>
      </c>
      <c r="F68" s="176">
        <f t="shared" si="2"/>
        <v>-2.5040360404136042E-3</v>
      </c>
      <c r="G68" s="176">
        <f t="shared" si="3"/>
        <v>0.99569895365967198</v>
      </c>
    </row>
    <row r="69" spans="1:7">
      <c r="A69" s="187">
        <v>60</v>
      </c>
      <c r="B69" s="77">
        <v>1</v>
      </c>
      <c r="C69" s="74">
        <f t="shared" si="1"/>
        <v>0.99838269073007702</v>
      </c>
      <c r="D69" s="188">
        <f t="shared" si="4"/>
        <v>0</v>
      </c>
      <c r="E69" s="179">
        <v>0.99306774694004829</v>
      </c>
      <c r="F69" s="176">
        <f t="shared" si="2"/>
        <v>-5.3149437900287255E-3</v>
      </c>
      <c r="G69" s="176">
        <f t="shared" si="3"/>
        <v>0.99306774694004829</v>
      </c>
    </row>
    <row r="70" spans="1:7">
      <c r="A70" s="187">
        <v>61</v>
      </c>
      <c r="B70" s="77">
        <v>1</v>
      </c>
      <c r="C70" s="74">
        <f t="shared" si="1"/>
        <v>0.99854442165706936</v>
      </c>
      <c r="D70" s="188">
        <f t="shared" si="4"/>
        <v>0</v>
      </c>
      <c r="E70" s="179">
        <v>0.99872458202138092</v>
      </c>
      <c r="F70" s="176">
        <f t="shared" si="2"/>
        <v>1.8016036431156568E-4</v>
      </c>
      <c r="G70" s="176">
        <f t="shared" si="3"/>
        <v>0.99872458202138092</v>
      </c>
    </row>
    <row r="71" spans="1:7">
      <c r="A71" s="187">
        <v>62</v>
      </c>
      <c r="B71" s="77">
        <v>1</v>
      </c>
      <c r="C71" s="74">
        <f t="shared" si="1"/>
        <v>0.9986899794913624</v>
      </c>
      <c r="D71" s="188">
        <f t="shared" si="4"/>
        <v>0</v>
      </c>
      <c r="E71" s="179">
        <v>0.99521109900694915</v>
      </c>
      <c r="F71" s="176">
        <f t="shared" si="2"/>
        <v>-3.4788804844132493E-3</v>
      </c>
      <c r="G71" s="176">
        <f t="shared" si="3"/>
        <v>0.99521109900694915</v>
      </c>
    </row>
    <row r="72" spans="1:7">
      <c r="A72" s="187">
        <v>63</v>
      </c>
      <c r="B72" s="77">
        <v>1</v>
      </c>
      <c r="C72" s="74">
        <f t="shared" si="1"/>
        <v>0.99882098154222621</v>
      </c>
      <c r="D72" s="188">
        <f t="shared" si="4"/>
        <v>0</v>
      </c>
      <c r="E72" s="179">
        <v>0.99715823764145228</v>
      </c>
      <c r="F72" s="176">
        <f t="shared" si="2"/>
        <v>-1.662743900773922E-3</v>
      </c>
      <c r="G72" s="176">
        <f t="shared" si="3"/>
        <v>0.99715823764145228</v>
      </c>
    </row>
    <row r="73" spans="1:7">
      <c r="A73" s="187">
        <v>64</v>
      </c>
      <c r="B73" s="77">
        <v>1</v>
      </c>
      <c r="C73" s="74">
        <f t="shared" si="1"/>
        <v>0.99893888338800363</v>
      </c>
      <c r="D73" s="188">
        <f t="shared" ref="D73:D93" si="5">$N$3*D72+$N$4*D71+$N$1*B73+$N$2*B72</f>
        <v>0</v>
      </c>
      <c r="E73" s="179">
        <v>0.99965316266933124</v>
      </c>
      <c r="F73" s="176">
        <f t="shared" si="2"/>
        <v>7.142792813276122E-4</v>
      </c>
      <c r="G73" s="176">
        <f t="shared" si="3"/>
        <v>0.99965316266933124</v>
      </c>
    </row>
    <row r="74" spans="1:7">
      <c r="A74" s="187">
        <v>65</v>
      </c>
      <c r="B74" s="77">
        <v>1</v>
      </c>
      <c r="C74" s="74">
        <f t="shared" ref="C74:C93" si="6">$K$2*C73+$K$1*B74</f>
        <v>0.9990449950492033</v>
      </c>
      <c r="D74" s="188">
        <f t="shared" si="5"/>
        <v>0</v>
      </c>
      <c r="E74" s="179">
        <v>1.0034907635385799</v>
      </c>
      <c r="F74" s="176">
        <f t="shared" ref="F74:F93" si="7">E74-C74</f>
        <v>4.4457684893766114E-3</v>
      </c>
      <c r="G74" s="176">
        <f t="shared" ref="G74:G93" si="8">E74-D74</f>
        <v>1.0034907635385799</v>
      </c>
    </row>
    <row r="75" spans="1:7">
      <c r="A75" s="187">
        <v>66</v>
      </c>
      <c r="B75" s="77">
        <v>1</v>
      </c>
      <c r="C75" s="74">
        <f t="shared" si="6"/>
        <v>0.99914049554428297</v>
      </c>
      <c r="D75" s="188">
        <f t="shared" si="5"/>
        <v>0</v>
      </c>
      <c r="E75" s="179">
        <v>0.99876484412503752</v>
      </c>
      <c r="F75" s="176">
        <f t="shared" si="7"/>
        <v>-3.7565141924544854E-4</v>
      </c>
      <c r="G75" s="176">
        <f t="shared" si="8"/>
        <v>0.99876484412503752</v>
      </c>
    </row>
    <row r="76" spans="1:7">
      <c r="A76" s="187">
        <v>67</v>
      </c>
      <c r="B76" s="77">
        <v>1</v>
      </c>
      <c r="C76" s="74">
        <f t="shared" si="6"/>
        <v>0.99922644598985466</v>
      </c>
      <c r="D76" s="188">
        <f t="shared" si="5"/>
        <v>0</v>
      </c>
      <c r="E76" s="179">
        <v>0.99877345325421618</v>
      </c>
      <c r="F76" s="176">
        <f t="shared" si="7"/>
        <v>-4.5299273563847997E-4</v>
      </c>
      <c r="G76" s="176">
        <f t="shared" si="8"/>
        <v>0.99877345325421618</v>
      </c>
    </row>
    <row r="77" spans="1:7">
      <c r="A77" s="187">
        <v>68</v>
      </c>
      <c r="B77" s="77">
        <v>1</v>
      </c>
      <c r="C77" s="74">
        <f t="shared" si="6"/>
        <v>0.99930380139086916</v>
      </c>
      <c r="D77" s="188">
        <f t="shared" si="5"/>
        <v>0</v>
      </c>
      <c r="E77" s="179">
        <v>1.0033023824314453</v>
      </c>
      <c r="F77" s="176">
        <f t="shared" si="7"/>
        <v>3.9985810405761546E-3</v>
      </c>
      <c r="G77" s="176">
        <f t="shared" si="8"/>
        <v>1.0033023824314453</v>
      </c>
    </row>
    <row r="78" spans="1:7">
      <c r="A78" s="187">
        <v>69</v>
      </c>
      <c r="B78" s="77">
        <v>1</v>
      </c>
      <c r="C78" s="74">
        <f t="shared" si="6"/>
        <v>0.99937342125178219</v>
      </c>
      <c r="D78" s="188">
        <f t="shared" si="5"/>
        <v>0</v>
      </c>
      <c r="E78" s="179">
        <v>1.0011555121915277</v>
      </c>
      <c r="F78" s="176">
        <f t="shared" si="7"/>
        <v>1.7820909397454621E-3</v>
      </c>
      <c r="G78" s="176">
        <f t="shared" si="8"/>
        <v>1.0011555121915277</v>
      </c>
    </row>
    <row r="79" spans="1:7">
      <c r="A79" s="187">
        <v>70</v>
      </c>
      <c r="B79" s="77">
        <v>1</v>
      </c>
      <c r="C79" s="74">
        <f t="shared" si="6"/>
        <v>0.99943607912660393</v>
      </c>
      <c r="D79" s="188">
        <f t="shared" si="5"/>
        <v>0</v>
      </c>
      <c r="E79" s="179">
        <v>0.99804473728356979</v>
      </c>
      <c r="F79" s="176">
        <f t="shared" si="7"/>
        <v>-1.3913418430341329E-3</v>
      </c>
      <c r="G79" s="176">
        <f t="shared" si="8"/>
        <v>0.99804473728356979</v>
      </c>
    </row>
    <row r="80" spans="1:7">
      <c r="A80" s="187">
        <v>71</v>
      </c>
      <c r="B80" s="77">
        <v>1</v>
      </c>
      <c r="C80" s="74">
        <f t="shared" si="6"/>
        <v>0.99949247121394358</v>
      </c>
      <c r="D80" s="188">
        <f t="shared" si="5"/>
        <v>0</v>
      </c>
      <c r="E80" s="179">
        <v>0.99782319534843988</v>
      </c>
      <c r="F80" s="176">
        <f t="shared" si="7"/>
        <v>-1.6692758655036943E-3</v>
      </c>
      <c r="G80" s="176">
        <f t="shared" si="8"/>
        <v>0.99782319534843988</v>
      </c>
    </row>
    <row r="81" spans="1:7">
      <c r="A81" s="187">
        <v>72</v>
      </c>
      <c r="B81" s="77">
        <v>1</v>
      </c>
      <c r="C81" s="74">
        <f t="shared" si="6"/>
        <v>0.99954322409254925</v>
      </c>
      <c r="D81" s="188">
        <f t="shared" si="5"/>
        <v>0</v>
      </c>
      <c r="E81" s="179">
        <v>0.99719839897715723</v>
      </c>
      <c r="F81" s="176">
        <f t="shared" si="7"/>
        <v>-2.3448251153920241E-3</v>
      </c>
      <c r="G81" s="176">
        <f t="shared" si="8"/>
        <v>0.99719839897715723</v>
      </c>
    </row>
    <row r="82" spans="1:7">
      <c r="A82" s="187">
        <v>73</v>
      </c>
      <c r="B82" s="77">
        <v>1</v>
      </c>
      <c r="C82" s="74">
        <f t="shared" si="6"/>
        <v>0.99958890168329428</v>
      </c>
      <c r="D82" s="188">
        <f t="shared" si="5"/>
        <v>0</v>
      </c>
      <c r="E82" s="179">
        <v>1.0007369186571913</v>
      </c>
      <c r="F82" s="176">
        <f t="shared" si="7"/>
        <v>1.1480169738969925E-3</v>
      </c>
      <c r="G82" s="176">
        <f t="shared" si="8"/>
        <v>1.0007369186571913</v>
      </c>
    </row>
    <row r="83" spans="1:7">
      <c r="A83" s="187">
        <v>74</v>
      </c>
      <c r="B83" s="77">
        <v>1</v>
      </c>
      <c r="C83" s="74">
        <f t="shared" si="6"/>
        <v>0.99963001151496489</v>
      </c>
      <c r="D83" s="188">
        <f t="shared" si="5"/>
        <v>0</v>
      </c>
      <c r="E83" s="179">
        <v>1.0031136654409423</v>
      </c>
      <c r="F83" s="176">
        <f t="shared" si="7"/>
        <v>3.4836539259773813E-3</v>
      </c>
      <c r="G83" s="176">
        <f t="shared" si="8"/>
        <v>1.0031136654409423</v>
      </c>
    </row>
    <row r="84" spans="1:7">
      <c r="A84" s="187">
        <v>75</v>
      </c>
      <c r="B84" s="77">
        <v>1</v>
      </c>
      <c r="C84" s="74">
        <f t="shared" si="6"/>
        <v>0.99966701036346839</v>
      </c>
      <c r="D84" s="188">
        <f t="shared" si="5"/>
        <v>0</v>
      </c>
      <c r="E84" s="179">
        <v>1.0001180641027312</v>
      </c>
      <c r="F84" s="176">
        <f t="shared" si="7"/>
        <v>4.5105373926279668E-4</v>
      </c>
      <c r="G84" s="176">
        <f t="shared" si="8"/>
        <v>1.0001180641027312</v>
      </c>
    </row>
    <row r="85" spans="1:7">
      <c r="A85" s="187">
        <v>76</v>
      </c>
      <c r="B85" s="77">
        <v>1</v>
      </c>
      <c r="C85" s="74">
        <f t="shared" si="6"/>
        <v>0.99970030932712151</v>
      </c>
      <c r="D85" s="188">
        <f t="shared" si="5"/>
        <v>0</v>
      </c>
      <c r="E85" s="179">
        <v>1.0041889209656079</v>
      </c>
      <c r="F85" s="176">
        <f t="shared" si="7"/>
        <v>4.4886116384863506E-3</v>
      </c>
      <c r="G85" s="176">
        <f t="shared" si="8"/>
        <v>1.0041889209656079</v>
      </c>
    </row>
    <row r="86" spans="1:7">
      <c r="A86" s="187">
        <v>77</v>
      </c>
      <c r="B86" s="77">
        <v>1</v>
      </c>
      <c r="C86" s="74">
        <f t="shared" si="6"/>
        <v>0.99973027839440931</v>
      </c>
      <c r="D86" s="188">
        <f t="shared" si="5"/>
        <v>0</v>
      </c>
      <c r="E86" s="179">
        <v>1.0065141640831119</v>
      </c>
      <c r="F86" s="176">
        <f t="shared" si="7"/>
        <v>6.7838856887025845E-3</v>
      </c>
      <c r="G86" s="176">
        <f t="shared" si="8"/>
        <v>1.0065141640831119</v>
      </c>
    </row>
    <row r="87" spans="1:7">
      <c r="A87" s="187">
        <v>78</v>
      </c>
      <c r="B87" s="77">
        <v>1</v>
      </c>
      <c r="C87" s="74">
        <f t="shared" si="6"/>
        <v>0.99975725055496834</v>
      </c>
      <c r="D87" s="188">
        <f t="shared" si="5"/>
        <v>0</v>
      </c>
      <c r="E87" s="179">
        <v>1.0068848393129246</v>
      </c>
      <c r="F87" s="176">
        <f t="shared" si="7"/>
        <v>7.1275887579562713E-3</v>
      </c>
      <c r="G87" s="176">
        <f t="shared" si="8"/>
        <v>1.0068848393129246</v>
      </c>
    </row>
    <row r="88" spans="1:7">
      <c r="A88" s="187">
        <v>79</v>
      </c>
      <c r="B88" s="77">
        <v>1</v>
      </c>
      <c r="C88" s="74">
        <f t="shared" si="6"/>
        <v>0.99978152549947152</v>
      </c>
      <c r="D88" s="188">
        <f t="shared" si="5"/>
        <v>0</v>
      </c>
      <c r="E88" s="179">
        <v>1.0082101174914897</v>
      </c>
      <c r="F88" s="176">
        <f t="shared" si="7"/>
        <v>8.4285919920181751E-3</v>
      </c>
      <c r="G88" s="176">
        <f t="shared" si="8"/>
        <v>1.0082101174914897</v>
      </c>
    </row>
    <row r="89" spans="1:7">
      <c r="A89" s="187">
        <v>80</v>
      </c>
      <c r="B89" s="77">
        <v>1</v>
      </c>
      <c r="C89" s="74">
        <f t="shared" si="6"/>
        <v>0.99980337294952437</v>
      </c>
      <c r="D89" s="188">
        <f t="shared" si="5"/>
        <v>0</v>
      </c>
      <c r="E89" s="179">
        <v>1.0056307641764826</v>
      </c>
      <c r="F89" s="176">
        <f t="shared" si="7"/>
        <v>5.8273912269581896E-3</v>
      </c>
      <c r="G89" s="176">
        <f t="shared" si="8"/>
        <v>1.0056307641764826</v>
      </c>
    </row>
    <row r="90" spans="1:7">
      <c r="A90" s="187">
        <v>81</v>
      </c>
      <c r="B90" s="77">
        <v>1</v>
      </c>
      <c r="C90" s="74">
        <f t="shared" si="6"/>
        <v>0.99982303565457198</v>
      </c>
      <c r="D90" s="188">
        <f t="shared" si="5"/>
        <v>0</v>
      </c>
      <c r="E90" s="179">
        <v>1.0053462162599647</v>
      </c>
      <c r="F90" s="176">
        <f t="shared" si="7"/>
        <v>5.5231806053926968E-3</v>
      </c>
      <c r="G90" s="176">
        <f t="shared" si="8"/>
        <v>1.0053462162599647</v>
      </c>
    </row>
    <row r="91" spans="1:7">
      <c r="A91" s="187">
        <v>82</v>
      </c>
      <c r="B91" s="77">
        <v>1</v>
      </c>
      <c r="C91" s="74">
        <f t="shared" si="6"/>
        <v>0.99984073208911473</v>
      </c>
      <c r="D91" s="188">
        <f t="shared" si="5"/>
        <v>0</v>
      </c>
      <c r="E91" s="179">
        <v>1.0090010732774934</v>
      </c>
      <c r="F91" s="176">
        <f t="shared" si="7"/>
        <v>9.1603411883787178E-3</v>
      </c>
      <c r="G91" s="176">
        <f t="shared" si="8"/>
        <v>1.0090010732774934</v>
      </c>
    </row>
    <row r="92" spans="1:7">
      <c r="A92" s="187">
        <v>83</v>
      </c>
      <c r="B92" s="77">
        <v>1</v>
      </c>
      <c r="C92" s="74">
        <f t="shared" si="6"/>
        <v>0.99985665888020325</v>
      </c>
      <c r="D92" s="188">
        <f t="shared" si="5"/>
        <v>0</v>
      </c>
      <c r="E92" s="179">
        <v>1.0100927606970851</v>
      </c>
      <c r="F92" s="176">
        <f t="shared" si="7"/>
        <v>1.0236101816881837E-2</v>
      </c>
      <c r="G92" s="176">
        <f t="shared" si="8"/>
        <v>1.0100927606970851</v>
      </c>
    </row>
    <row r="93" spans="1:7" ht="16" thickBot="1">
      <c r="A93" s="189">
        <v>84</v>
      </c>
      <c r="B93" s="85">
        <v>1</v>
      </c>
      <c r="C93" s="81">
        <f t="shared" si="6"/>
        <v>0.99987099299218296</v>
      </c>
      <c r="D93" s="190">
        <f t="shared" si="5"/>
        <v>0</v>
      </c>
      <c r="E93" s="180">
        <v>1.0046465415657742</v>
      </c>
      <c r="F93" s="177">
        <f t="shared" si="7"/>
        <v>4.7755485735911929E-3</v>
      </c>
      <c r="G93" s="177">
        <f t="shared" si="8"/>
        <v>1.0046465415657742</v>
      </c>
    </row>
  </sheetData>
  <mergeCells count="1">
    <mergeCell ref="A5:D5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3"/>
  <sheetViews>
    <sheetView topLeftCell="A97" workbookViewId="0">
      <selection activeCell="B13" sqref="B13:B113"/>
    </sheetView>
  </sheetViews>
  <sheetFormatPr baseColWidth="10" defaultRowHeight="15" x14ac:dyDescent="0"/>
  <cols>
    <col min="2" max="2" width="14.33203125" customWidth="1"/>
    <col min="3" max="3" width="10.5" customWidth="1"/>
    <col min="4" max="4" width="10.83203125" customWidth="1"/>
    <col min="5" max="5" width="13.6640625" customWidth="1"/>
    <col min="13" max="13" width="2.5" customWidth="1"/>
  </cols>
  <sheetData>
    <row r="1" spans="1:22" ht="16" thickBot="1">
      <c r="A1" s="2" t="s">
        <v>0</v>
      </c>
      <c r="B1" s="2" t="s">
        <v>5</v>
      </c>
      <c r="C1" s="3" t="s">
        <v>4</v>
      </c>
      <c r="D1" s="3">
        <v>3000</v>
      </c>
      <c r="E1" s="3" t="s">
        <v>26</v>
      </c>
      <c r="F1" s="4"/>
      <c r="G1" s="2" t="s">
        <v>25</v>
      </c>
      <c r="H1" s="3"/>
      <c r="I1" s="3"/>
      <c r="J1" s="12"/>
      <c r="N1" t="s">
        <v>48</v>
      </c>
      <c r="S1" s="6">
        <v>60</v>
      </c>
    </row>
    <row r="2" spans="1:22">
      <c r="A2" s="5"/>
      <c r="B2" s="5" t="s">
        <v>6</v>
      </c>
      <c r="C2" s="6" t="s">
        <v>7</v>
      </c>
      <c r="D2" s="6">
        <v>3</v>
      </c>
      <c r="E2" s="6" t="s">
        <v>8</v>
      </c>
      <c r="F2" s="7"/>
      <c r="G2" s="5" t="s">
        <v>27</v>
      </c>
      <c r="H2" s="13" t="s">
        <v>28</v>
      </c>
      <c r="I2" s="14">
        <f>D3*60/(2*3.142*D1)</f>
        <v>0.14322087842138764</v>
      </c>
      <c r="J2" s="7" t="s">
        <v>32</v>
      </c>
      <c r="N2" s="21" t="s">
        <v>40</v>
      </c>
      <c r="O2" s="3"/>
      <c r="P2" s="3" t="s">
        <v>41</v>
      </c>
      <c r="Q2" s="3">
        <f>D1*D4/I3</f>
        <v>4800</v>
      </c>
      <c r="R2" s="3" t="s">
        <v>26</v>
      </c>
      <c r="S2" s="3"/>
      <c r="T2" s="4"/>
    </row>
    <row r="3" spans="1:22">
      <c r="A3" s="5"/>
      <c r="B3" s="5" t="s">
        <v>9</v>
      </c>
      <c r="C3" s="6" t="s">
        <v>10</v>
      </c>
      <c r="D3" s="6">
        <v>45</v>
      </c>
      <c r="E3" s="6" t="s">
        <v>11</v>
      </c>
      <c r="F3" s="7"/>
      <c r="G3" s="58" t="s">
        <v>31</v>
      </c>
      <c r="H3" s="13" t="s">
        <v>14</v>
      </c>
      <c r="I3" s="14">
        <f>D3/D2</f>
        <v>15</v>
      </c>
      <c r="J3" s="7" t="s">
        <v>3</v>
      </c>
      <c r="N3" s="5"/>
      <c r="O3" s="6"/>
      <c r="P3" s="6" t="s">
        <v>41</v>
      </c>
      <c r="Q3" s="6">
        <f>I6*D4*60/(2*3.142)</f>
        <v>4800</v>
      </c>
      <c r="R3" s="6" t="s">
        <v>26</v>
      </c>
      <c r="S3" s="6"/>
      <c r="T3" s="7"/>
    </row>
    <row r="4" spans="1:22">
      <c r="A4" s="5"/>
      <c r="B4" s="5" t="s">
        <v>12</v>
      </c>
      <c r="C4" s="6" t="s">
        <v>13</v>
      </c>
      <c r="D4" s="6">
        <v>24</v>
      </c>
      <c r="E4" s="6" t="s">
        <v>3</v>
      </c>
      <c r="F4" s="7"/>
      <c r="G4" s="5" t="s">
        <v>29</v>
      </c>
      <c r="H4" s="13" t="s">
        <v>30</v>
      </c>
      <c r="I4" s="14">
        <f>(D4-I3)/D2</f>
        <v>3</v>
      </c>
      <c r="J4" s="7" t="s">
        <v>33</v>
      </c>
      <c r="N4" s="5"/>
      <c r="O4" s="6"/>
      <c r="P4" s="6"/>
      <c r="Q4" s="6"/>
      <c r="R4" s="6"/>
      <c r="S4" s="6"/>
      <c r="T4" s="7"/>
    </row>
    <row r="5" spans="1:22" ht="16" thickBot="1">
      <c r="A5" s="8"/>
      <c r="B5" s="8" t="s">
        <v>15</v>
      </c>
      <c r="C5" s="9" t="s">
        <v>1</v>
      </c>
      <c r="D5" s="9">
        <v>60</v>
      </c>
      <c r="E5" s="10">
        <v>9.9999999999999995E-7</v>
      </c>
      <c r="F5" s="11" t="s">
        <v>2</v>
      </c>
      <c r="G5" s="8" t="s">
        <v>38</v>
      </c>
      <c r="H5" s="9" t="s">
        <v>4</v>
      </c>
      <c r="I5" s="15">
        <f>D1/60</f>
        <v>50</v>
      </c>
      <c r="J5" s="11" t="s">
        <v>35</v>
      </c>
      <c r="N5" s="5"/>
      <c r="O5" s="6" t="s">
        <v>53</v>
      </c>
      <c r="P5" s="6" t="s">
        <v>52</v>
      </c>
      <c r="Q5" s="6"/>
      <c r="R5" s="6"/>
      <c r="S5" s="6" t="s">
        <v>53</v>
      </c>
      <c r="T5" s="7" t="s">
        <v>52</v>
      </c>
    </row>
    <row r="6" spans="1:22" ht="16" thickBot="1">
      <c r="E6" s="1"/>
      <c r="G6" s="21" t="s">
        <v>42</v>
      </c>
      <c r="H6" s="3"/>
      <c r="I6" s="22">
        <f>2*3.142*D1/(I3*60)</f>
        <v>20.946666666666665</v>
      </c>
      <c r="J6" s="59" t="s">
        <v>37</v>
      </c>
      <c r="N6" s="5" t="s">
        <v>46</v>
      </c>
      <c r="O6" s="16">
        <f>I7*D5*E5/C9</f>
        <v>7.8977312000000008</v>
      </c>
      <c r="P6" s="29">
        <v>1</v>
      </c>
      <c r="Q6" s="6"/>
      <c r="R6" s="6" t="s">
        <v>49</v>
      </c>
      <c r="S6" s="14">
        <f>I6/O7</f>
        <v>2.354158177611239</v>
      </c>
      <c r="T6" s="7" t="s">
        <v>37</v>
      </c>
    </row>
    <row r="7" spans="1:22" ht="16" thickBot="1">
      <c r="A7" s="18" t="s">
        <v>18</v>
      </c>
      <c r="B7" s="19" t="s">
        <v>19</v>
      </c>
      <c r="C7" s="19" t="s">
        <v>20</v>
      </c>
      <c r="D7" s="24">
        <v>24</v>
      </c>
      <c r="E7" s="20" t="s">
        <v>3</v>
      </c>
      <c r="G7" s="23" t="s">
        <v>43</v>
      </c>
      <c r="H7" s="9"/>
      <c r="I7" s="17">
        <f>I6*I4*D2/I2</f>
        <v>1316.2885333333334</v>
      </c>
      <c r="J7" s="60" t="s">
        <v>44</v>
      </c>
      <c r="N7" s="5" t="s">
        <v>47</v>
      </c>
      <c r="O7" s="16">
        <f>O6+1</f>
        <v>8.8977312000000008</v>
      </c>
      <c r="P7" s="29">
        <v>1</v>
      </c>
      <c r="Q7" s="6"/>
      <c r="R7" s="6" t="s">
        <v>50</v>
      </c>
      <c r="S7" s="16">
        <f>I7/O7</f>
        <v>147.93529988109029</v>
      </c>
      <c r="T7" s="7" t="s">
        <v>44</v>
      </c>
    </row>
    <row r="8" spans="1:22" ht="16" thickBot="1">
      <c r="E8" s="1"/>
      <c r="N8" s="8"/>
      <c r="O8" s="9"/>
      <c r="P8" s="9"/>
      <c r="Q8" s="9"/>
      <c r="R8" s="9" t="s">
        <v>51</v>
      </c>
      <c r="S8" s="15">
        <f>O6/O7</f>
        <v>0.88761179928654177</v>
      </c>
      <c r="T8" s="30">
        <v>1</v>
      </c>
    </row>
    <row r="9" spans="1:22" ht="16" thickBot="1">
      <c r="A9" s="18" t="s">
        <v>16</v>
      </c>
      <c r="B9" s="19" t="s">
        <v>111</v>
      </c>
      <c r="C9" s="19">
        <v>0.01</v>
      </c>
      <c r="D9" s="25" t="s">
        <v>34</v>
      </c>
      <c r="E9" s="19" t="s">
        <v>69</v>
      </c>
      <c r="F9" s="19"/>
      <c r="G9" s="26"/>
      <c r="V9">
        <f>0.63*0.8</f>
        <v>0.504</v>
      </c>
    </row>
    <row r="10" spans="1:22" ht="16" thickBot="1">
      <c r="D10" s="1"/>
      <c r="J10" s="64" t="s">
        <v>445</v>
      </c>
      <c r="N10" s="2" t="s">
        <v>96</v>
      </c>
      <c r="O10" s="3"/>
      <c r="P10" s="3"/>
      <c r="Q10" s="3"/>
      <c r="R10" s="4"/>
    </row>
    <row r="11" spans="1:22" ht="16" thickBot="1">
      <c r="A11" s="208" t="s">
        <v>36</v>
      </c>
      <c r="B11" s="209"/>
      <c r="C11" s="209"/>
      <c r="D11" s="209"/>
      <c r="E11" s="209"/>
      <c r="F11" s="210"/>
      <c r="G11" s="208" t="s">
        <v>45</v>
      </c>
      <c r="H11" s="209"/>
      <c r="I11" s="209"/>
      <c r="J11" s="209"/>
      <c r="K11" s="209"/>
      <c r="L11" s="210"/>
      <c r="N11" s="8" t="s">
        <v>82</v>
      </c>
      <c r="O11" s="9">
        <v>0</v>
      </c>
      <c r="P11" s="9" t="s">
        <v>83</v>
      </c>
      <c r="Q11" s="9"/>
      <c r="R11" s="11"/>
    </row>
    <row r="12" spans="1:22" ht="16" thickBot="1">
      <c r="A12" s="65" t="s">
        <v>17</v>
      </c>
      <c r="B12" s="66" t="s">
        <v>22</v>
      </c>
      <c r="C12" s="66" t="s">
        <v>23</v>
      </c>
      <c r="D12" s="66" t="s">
        <v>24</v>
      </c>
      <c r="E12" s="66" t="s">
        <v>446</v>
      </c>
      <c r="F12" s="67" t="s">
        <v>39</v>
      </c>
      <c r="G12" s="31" t="s">
        <v>55</v>
      </c>
      <c r="H12" s="66" t="s">
        <v>56</v>
      </c>
      <c r="I12" s="32" t="s">
        <v>57</v>
      </c>
      <c r="J12" s="13" t="s">
        <v>54</v>
      </c>
      <c r="O12" s="66" t="s">
        <v>22</v>
      </c>
    </row>
    <row r="13" spans="1:22" ht="16" thickBot="1">
      <c r="A13" s="68">
        <v>-1</v>
      </c>
      <c r="B13" s="69">
        <v>1</v>
      </c>
      <c r="C13" s="69"/>
      <c r="D13" s="69"/>
      <c r="E13" s="69"/>
      <c r="F13" s="70"/>
      <c r="G13" s="71">
        <f>50*2*PI()</f>
        <v>314.15926535897933</v>
      </c>
      <c r="H13" s="72">
        <f>G13*60/(2*3.142)</f>
        <v>2999.6110632620557</v>
      </c>
      <c r="I13" s="73">
        <f>H13/$D$1</f>
        <v>0.99987035442068528</v>
      </c>
      <c r="J13" s="64">
        <v>0</v>
      </c>
      <c r="K13" s="24" t="s">
        <v>59</v>
      </c>
      <c r="L13" s="41"/>
      <c r="O13" s="69"/>
    </row>
    <row r="14" spans="1:22">
      <c r="A14" s="68">
        <v>0</v>
      </c>
      <c r="B14" s="69">
        <v>1</v>
      </c>
      <c r="C14" s="74">
        <f t="shared" ref="C14:C77" si="0">B14*$D$2</f>
        <v>3</v>
      </c>
      <c r="D14" s="75">
        <f t="shared" ref="D14:D45" si="1">$D$7-C14*$I$4</f>
        <v>15</v>
      </c>
      <c r="E14" s="69">
        <f t="shared" ref="E14:E45" si="2">$D$1*(D14/$I$3)</f>
        <v>3000</v>
      </c>
      <c r="F14" s="70">
        <f t="shared" ref="F14:F45" si="3">E14/$D$1</f>
        <v>1</v>
      </c>
      <c r="G14" s="76">
        <f t="shared" ref="G14:G45" si="4">($S$6*$D$7-$S$7*B14*$I$2+$S$8*G13)</f>
        <v>314.16384345199037</v>
      </c>
      <c r="H14" s="77">
        <f t="shared" ref="H14:H77" si="5">G14*60/(2*3.142)</f>
        <v>2999.6547751622252</v>
      </c>
      <c r="I14" s="78">
        <f t="shared" ref="I14:I77" si="6">H14/$D$1</f>
        <v>0.99988492505407511</v>
      </c>
      <c r="J14" s="103">
        <f>H14/60</f>
        <v>49.994246252703753</v>
      </c>
      <c r="O14" s="69">
        <v>0.5</v>
      </c>
    </row>
    <row r="15" spans="1:22">
      <c r="A15" s="68">
        <v>1</v>
      </c>
      <c r="B15" s="69">
        <v>1</v>
      </c>
      <c r="C15" s="74">
        <f t="shared" si="0"/>
        <v>3</v>
      </c>
      <c r="D15" s="75">
        <f t="shared" si="1"/>
        <v>15</v>
      </c>
      <c r="E15" s="69">
        <f t="shared" si="2"/>
        <v>3000</v>
      </c>
      <c r="F15" s="70">
        <f t="shared" si="3"/>
        <v>1</v>
      </c>
      <c r="G15" s="76">
        <f t="shared" si="4"/>
        <v>314.16790702136518</v>
      </c>
      <c r="H15" s="77">
        <f t="shared" si="5"/>
        <v>2999.6935743605845</v>
      </c>
      <c r="I15" s="78">
        <f t="shared" si="6"/>
        <v>0.99989785812019483</v>
      </c>
      <c r="J15" s="103">
        <f t="shared" ref="J15:J78" si="7">H15/60</f>
        <v>49.994892906009746</v>
      </c>
      <c r="O15" s="69">
        <v>0.5</v>
      </c>
    </row>
    <row r="16" spans="1:22">
      <c r="A16" s="68">
        <v>2</v>
      </c>
      <c r="B16" s="69">
        <v>1</v>
      </c>
      <c r="C16" s="74">
        <f t="shared" si="0"/>
        <v>3</v>
      </c>
      <c r="D16" s="75">
        <f t="shared" si="1"/>
        <v>15</v>
      </c>
      <c r="E16" s="69">
        <f t="shared" si="2"/>
        <v>3000</v>
      </c>
      <c r="F16" s="70">
        <f t="shared" si="3"/>
        <v>1</v>
      </c>
      <c r="G16" s="76">
        <f t="shared" si="4"/>
        <v>314.17151389348953</v>
      </c>
      <c r="H16" s="77">
        <f t="shared" si="5"/>
        <v>2999.7280129868509</v>
      </c>
      <c r="I16" s="78">
        <f t="shared" si="6"/>
        <v>0.99990933766228363</v>
      </c>
      <c r="J16" s="103">
        <f t="shared" si="7"/>
        <v>49.995466883114183</v>
      </c>
      <c r="O16" s="69">
        <v>0.5</v>
      </c>
    </row>
    <row r="17" spans="1:15">
      <c r="A17" s="68">
        <v>3</v>
      </c>
      <c r="B17" s="69">
        <v>1</v>
      </c>
      <c r="C17" s="74">
        <f t="shared" si="0"/>
        <v>3</v>
      </c>
      <c r="D17" s="75">
        <f t="shared" si="1"/>
        <v>15</v>
      </c>
      <c r="E17" s="69">
        <f t="shared" si="2"/>
        <v>3000</v>
      </c>
      <c r="F17" s="70">
        <f t="shared" si="3"/>
        <v>1</v>
      </c>
      <c r="G17" s="76">
        <f t="shared" si="4"/>
        <v>314.17471539574558</v>
      </c>
      <c r="H17" s="77">
        <f t="shared" si="5"/>
        <v>2999.7585811178765</v>
      </c>
      <c r="I17" s="78">
        <f t="shared" si="6"/>
        <v>0.99991952703929221</v>
      </c>
      <c r="J17" s="103">
        <f t="shared" si="7"/>
        <v>49.995976351964607</v>
      </c>
      <c r="O17" s="69">
        <v>0.5</v>
      </c>
    </row>
    <row r="18" spans="1:15">
      <c r="A18" s="68">
        <v>4</v>
      </c>
      <c r="B18" s="69">
        <v>1</v>
      </c>
      <c r="C18" s="74">
        <f t="shared" si="0"/>
        <v>3</v>
      </c>
      <c r="D18" s="75">
        <f t="shared" si="1"/>
        <v>15</v>
      </c>
      <c r="E18" s="69">
        <f t="shared" si="2"/>
        <v>3000</v>
      </c>
      <c r="F18" s="70">
        <f t="shared" si="3"/>
        <v>1</v>
      </c>
      <c r="G18" s="76">
        <f t="shared" si="4"/>
        <v>314.17755708692346</v>
      </c>
      <c r="H18" s="77">
        <f t="shared" si="5"/>
        <v>2999.7857137516567</v>
      </c>
      <c r="I18" s="78">
        <f t="shared" si="6"/>
        <v>0.99992857125055223</v>
      </c>
      <c r="J18" s="103">
        <f t="shared" si="7"/>
        <v>49.996428562527612</v>
      </c>
      <c r="O18" s="69">
        <v>0.5</v>
      </c>
    </row>
    <row r="19" spans="1:15">
      <c r="A19" s="68">
        <v>5</v>
      </c>
      <c r="B19" s="69">
        <v>1</v>
      </c>
      <c r="C19" s="74">
        <f t="shared" si="0"/>
        <v>3</v>
      </c>
      <c r="D19" s="75">
        <f t="shared" si="1"/>
        <v>15</v>
      </c>
      <c r="E19" s="69">
        <f t="shared" si="2"/>
        <v>3000</v>
      </c>
      <c r="F19" s="70">
        <f t="shared" si="3"/>
        <v>1</v>
      </c>
      <c r="G19" s="76">
        <f t="shared" si="4"/>
        <v>314.18007940554287</v>
      </c>
      <c r="H19" s="77">
        <f t="shared" si="5"/>
        <v>2999.8097969975452</v>
      </c>
      <c r="I19" s="78">
        <f t="shared" si="6"/>
        <v>0.99993659899918175</v>
      </c>
      <c r="J19" s="103">
        <f t="shared" si="7"/>
        <v>49.996829949959086</v>
      </c>
      <c r="O19" s="69">
        <v>0.5</v>
      </c>
    </row>
    <row r="20" spans="1:15">
      <c r="A20" s="68">
        <v>6</v>
      </c>
      <c r="B20" s="69">
        <v>1</v>
      </c>
      <c r="C20" s="74">
        <f t="shared" si="0"/>
        <v>3</v>
      </c>
      <c r="D20" s="75">
        <f t="shared" si="1"/>
        <v>15</v>
      </c>
      <c r="E20" s="69">
        <f t="shared" si="2"/>
        <v>3000</v>
      </c>
      <c r="F20" s="70">
        <f t="shared" si="3"/>
        <v>1</v>
      </c>
      <c r="G20" s="76">
        <f t="shared" si="4"/>
        <v>314.18231824531108</v>
      </c>
      <c r="H20" s="77">
        <f t="shared" si="5"/>
        <v>2999.8311735707616</v>
      </c>
      <c r="I20" s="78">
        <f t="shared" si="6"/>
        <v>0.99994372452358715</v>
      </c>
      <c r="J20" s="103">
        <f t="shared" si="7"/>
        <v>49.997186226179359</v>
      </c>
      <c r="O20" s="69">
        <v>0.5</v>
      </c>
    </row>
    <row r="21" spans="1:15">
      <c r="A21" s="68">
        <v>7</v>
      </c>
      <c r="B21" s="69">
        <v>1</v>
      </c>
      <c r="C21" s="74">
        <f t="shared" si="0"/>
        <v>3</v>
      </c>
      <c r="D21" s="75">
        <f t="shared" si="1"/>
        <v>15</v>
      </c>
      <c r="E21" s="69">
        <f t="shared" si="2"/>
        <v>3000</v>
      </c>
      <c r="F21" s="70">
        <f t="shared" si="3"/>
        <v>1</v>
      </c>
      <c r="G21" s="76">
        <f t="shared" si="4"/>
        <v>314.18430546590605</v>
      </c>
      <c r="H21" s="77">
        <f t="shared" si="5"/>
        <v>2999.8501476693768</v>
      </c>
      <c r="I21" s="78">
        <f t="shared" si="6"/>
        <v>0.99995004922312558</v>
      </c>
      <c r="J21" s="103">
        <f t="shared" si="7"/>
        <v>49.99750246115628</v>
      </c>
      <c r="O21" s="69">
        <v>0.5</v>
      </c>
    </row>
    <row r="22" spans="1:15">
      <c r="A22" s="68">
        <v>8</v>
      </c>
      <c r="B22" s="69">
        <v>1</v>
      </c>
      <c r="C22" s="74">
        <f t="shared" si="0"/>
        <v>3</v>
      </c>
      <c r="D22" s="75">
        <f t="shared" si="1"/>
        <v>15</v>
      </c>
      <c r="E22" s="69">
        <f t="shared" si="2"/>
        <v>3000</v>
      </c>
      <c r="F22" s="70">
        <f t="shared" si="3"/>
        <v>1</v>
      </c>
      <c r="G22" s="76">
        <f t="shared" si="4"/>
        <v>314.18606934635386</v>
      </c>
      <c r="H22" s="77">
        <f t="shared" si="5"/>
        <v>2999.8669893031879</v>
      </c>
      <c r="I22" s="78">
        <f t="shared" si="6"/>
        <v>0.99995566310106265</v>
      </c>
      <c r="J22" s="103">
        <f t="shared" si="7"/>
        <v>49.997783155053135</v>
      </c>
      <c r="O22" s="69">
        <v>0.5</v>
      </c>
    </row>
    <row r="23" spans="1:15">
      <c r="A23" s="68">
        <v>9</v>
      </c>
      <c r="B23" s="69">
        <v>1</v>
      </c>
      <c r="C23" s="74">
        <f t="shared" si="0"/>
        <v>3</v>
      </c>
      <c r="D23" s="75">
        <f t="shared" si="1"/>
        <v>15</v>
      </c>
      <c r="E23" s="69">
        <f t="shared" si="2"/>
        <v>3000</v>
      </c>
      <c r="F23" s="70">
        <f t="shared" si="3"/>
        <v>1</v>
      </c>
      <c r="G23" s="76">
        <f t="shared" si="4"/>
        <v>314.18763498745193</v>
      </c>
      <c r="H23" s="77">
        <f t="shared" si="5"/>
        <v>2999.8819381360781</v>
      </c>
      <c r="I23" s="78">
        <f t="shared" si="6"/>
        <v>0.99996064604535939</v>
      </c>
      <c r="J23" s="103">
        <f t="shared" si="7"/>
        <v>49.998032302267966</v>
      </c>
      <c r="O23" s="69">
        <v>0.5</v>
      </c>
    </row>
    <row r="24" spans="1:15">
      <c r="A24" s="68">
        <v>10</v>
      </c>
      <c r="B24" s="69">
        <v>1.1000000000000001</v>
      </c>
      <c r="C24" s="74">
        <f t="shared" si="0"/>
        <v>3.3000000000000003</v>
      </c>
      <c r="D24" s="75">
        <f t="shared" si="1"/>
        <v>14.1</v>
      </c>
      <c r="E24" s="69">
        <f t="shared" si="2"/>
        <v>2820</v>
      </c>
      <c r="F24" s="70">
        <f t="shared" si="3"/>
        <v>0.94</v>
      </c>
      <c r="G24" s="76">
        <f t="shared" si="4"/>
        <v>312.07028230911385</v>
      </c>
      <c r="H24" s="77">
        <f t="shared" si="5"/>
        <v>2979.6653307681145</v>
      </c>
      <c r="I24" s="78">
        <f t="shared" si="6"/>
        <v>0.99322177692270486</v>
      </c>
      <c r="J24" s="103">
        <f t="shared" si="7"/>
        <v>49.661088846135243</v>
      </c>
      <c r="O24" s="69">
        <v>0.5</v>
      </c>
    </row>
    <row r="25" spans="1:15">
      <c r="A25" s="68">
        <v>11</v>
      </c>
      <c r="B25" s="69">
        <v>1.2</v>
      </c>
      <c r="C25" s="74">
        <f t="shared" si="0"/>
        <v>3.5999999999999996</v>
      </c>
      <c r="D25" s="75">
        <f t="shared" si="1"/>
        <v>13.200000000000001</v>
      </c>
      <c r="E25" s="69">
        <f t="shared" si="2"/>
        <v>2640.0000000000005</v>
      </c>
      <c r="F25" s="70">
        <f t="shared" si="3"/>
        <v>0.88000000000000012</v>
      </c>
      <c r="G25" s="76">
        <f t="shared" si="4"/>
        <v>308.07215272871991</v>
      </c>
      <c r="H25" s="77">
        <f t="shared" si="5"/>
        <v>2941.4909553983443</v>
      </c>
      <c r="I25" s="78">
        <f t="shared" si="6"/>
        <v>0.9804969851327815</v>
      </c>
      <c r="J25" s="103">
        <f t="shared" si="7"/>
        <v>49.024849256639072</v>
      </c>
      <c r="O25" s="69">
        <v>0.5</v>
      </c>
    </row>
    <row r="26" spans="1:15">
      <c r="A26" s="68">
        <v>12</v>
      </c>
      <c r="B26" s="69">
        <v>1.3</v>
      </c>
      <c r="C26" s="74">
        <f t="shared" si="0"/>
        <v>3.9000000000000004</v>
      </c>
      <c r="D26" s="75">
        <f t="shared" si="1"/>
        <v>12.299999999999999</v>
      </c>
      <c r="E26" s="69">
        <f t="shared" si="2"/>
        <v>2460</v>
      </c>
      <c r="F26" s="70">
        <f t="shared" si="3"/>
        <v>0.82</v>
      </c>
      <c r="G26" s="76">
        <f t="shared" si="4"/>
        <v>302.40462337823561</v>
      </c>
      <c r="H26" s="77">
        <f t="shared" si="5"/>
        <v>2887.3770532613203</v>
      </c>
      <c r="I26" s="78">
        <f t="shared" si="6"/>
        <v>0.9624590177537734</v>
      </c>
      <c r="J26" s="103">
        <f t="shared" si="7"/>
        <v>48.122950887688674</v>
      </c>
      <c r="O26" s="69">
        <v>0.5</v>
      </c>
    </row>
    <row r="27" spans="1:15">
      <c r="A27" s="68">
        <v>13</v>
      </c>
      <c r="B27" s="69">
        <v>1.4</v>
      </c>
      <c r="C27" s="74">
        <f t="shared" si="0"/>
        <v>4.1999999999999993</v>
      </c>
      <c r="D27" s="75">
        <f t="shared" si="1"/>
        <v>11.400000000000002</v>
      </c>
      <c r="E27" s="69">
        <f t="shared" si="2"/>
        <v>2280.0000000000005</v>
      </c>
      <c r="F27" s="70">
        <f t="shared" si="3"/>
        <v>0.76000000000000012</v>
      </c>
      <c r="G27" s="76">
        <f t="shared" si="4"/>
        <v>295.25531509409285</v>
      </c>
      <c r="H27" s="77">
        <f t="shared" si="5"/>
        <v>2819.1150390906382</v>
      </c>
      <c r="I27" s="78">
        <f t="shared" si="6"/>
        <v>0.9397050130302127</v>
      </c>
      <c r="J27" s="103">
        <f t="shared" si="7"/>
        <v>46.98525065151064</v>
      </c>
      <c r="O27" s="69">
        <v>0.5</v>
      </c>
    </row>
    <row r="28" spans="1:15">
      <c r="A28" s="68">
        <v>14</v>
      </c>
      <c r="B28" s="69">
        <v>1.5</v>
      </c>
      <c r="C28" s="74">
        <f t="shared" si="0"/>
        <v>4.5</v>
      </c>
      <c r="D28" s="75">
        <f t="shared" si="1"/>
        <v>10.5</v>
      </c>
      <c r="E28" s="69">
        <f t="shared" si="2"/>
        <v>2100</v>
      </c>
      <c r="F28" s="70">
        <f t="shared" si="3"/>
        <v>0.7</v>
      </c>
      <c r="G28" s="76">
        <f t="shared" si="4"/>
        <v>286.79076234450059</v>
      </c>
      <c r="H28" s="77">
        <f t="shared" si="5"/>
        <v>2738.2949937412532</v>
      </c>
      <c r="I28" s="78">
        <f t="shared" si="6"/>
        <v>0.9127649979137511</v>
      </c>
      <c r="J28" s="103">
        <f t="shared" si="7"/>
        <v>45.638249895687551</v>
      </c>
      <c r="O28" s="69">
        <v>0.5</v>
      </c>
    </row>
    <row r="29" spans="1:15">
      <c r="A29" s="68">
        <v>15</v>
      </c>
      <c r="B29" s="69">
        <v>1.6</v>
      </c>
      <c r="C29" s="74">
        <f t="shared" si="0"/>
        <v>4.8000000000000007</v>
      </c>
      <c r="D29" s="75">
        <f t="shared" si="1"/>
        <v>9.5999999999999979</v>
      </c>
      <c r="E29" s="69">
        <f t="shared" si="2"/>
        <v>1919.9999999999998</v>
      </c>
      <c r="F29" s="70">
        <f t="shared" si="3"/>
        <v>0.6399999999999999</v>
      </c>
      <c r="G29" s="76">
        <f t="shared" si="4"/>
        <v>277.15878308842906</v>
      </c>
      <c r="H29" s="77">
        <f t="shared" si="5"/>
        <v>2646.3282917418433</v>
      </c>
      <c r="I29" s="78">
        <f t="shared" si="6"/>
        <v>0.88210943058061442</v>
      </c>
      <c r="J29" s="103">
        <f t="shared" si="7"/>
        <v>44.105471529030723</v>
      </c>
      <c r="O29" s="69">
        <v>0.5</v>
      </c>
    </row>
    <row r="30" spans="1:15">
      <c r="A30" s="68">
        <v>16</v>
      </c>
      <c r="B30" s="69">
        <v>1.7</v>
      </c>
      <c r="C30" s="74">
        <f t="shared" si="0"/>
        <v>5.0999999999999996</v>
      </c>
      <c r="D30" s="75">
        <f t="shared" si="1"/>
        <v>8.7000000000000011</v>
      </c>
      <c r="E30" s="69">
        <f t="shared" si="2"/>
        <v>1740.0000000000002</v>
      </c>
      <c r="F30" s="70">
        <f t="shared" si="3"/>
        <v>0.58000000000000007</v>
      </c>
      <c r="G30" s="76">
        <f t="shared" si="4"/>
        <v>266.49058229040668</v>
      </c>
      <c r="H30" s="77">
        <f t="shared" si="5"/>
        <v>2544.4676857772761</v>
      </c>
      <c r="I30" s="78">
        <f t="shared" si="6"/>
        <v>0.84815589525909207</v>
      </c>
      <c r="J30" s="103">
        <f t="shared" si="7"/>
        <v>42.407794762954602</v>
      </c>
      <c r="O30" s="69">
        <v>0.5</v>
      </c>
    </row>
    <row r="31" spans="1:15">
      <c r="A31" s="68">
        <v>17</v>
      </c>
      <c r="B31" s="69">
        <v>1.8</v>
      </c>
      <c r="C31" s="74">
        <f t="shared" si="0"/>
        <v>5.4</v>
      </c>
      <c r="D31" s="75">
        <f t="shared" si="1"/>
        <v>7.7999999999999972</v>
      </c>
      <c r="E31" s="69">
        <f t="shared" si="2"/>
        <v>1559.9999999999993</v>
      </c>
      <c r="F31" s="70">
        <f t="shared" si="3"/>
        <v>0.5199999999999998</v>
      </c>
      <c r="G31" s="76">
        <f t="shared" si="4"/>
        <v>254.90261902507373</v>
      </c>
      <c r="H31" s="77">
        <f t="shared" si="5"/>
        <v>2433.8251339122253</v>
      </c>
      <c r="I31" s="78">
        <f t="shared" si="6"/>
        <v>0.8112750446374084</v>
      </c>
      <c r="J31" s="103">
        <f t="shared" si="7"/>
        <v>40.563752231870424</v>
      </c>
      <c r="O31" s="69">
        <v>0.5</v>
      </c>
    </row>
    <row r="32" spans="1:15">
      <c r="A32" s="68">
        <v>18</v>
      </c>
      <c r="B32" s="69">
        <v>1.9</v>
      </c>
      <c r="C32" s="74">
        <f t="shared" si="0"/>
        <v>5.6999999999999993</v>
      </c>
      <c r="D32" s="75">
        <f t="shared" si="1"/>
        <v>6.9000000000000021</v>
      </c>
      <c r="E32" s="69">
        <f t="shared" si="2"/>
        <v>1380.0000000000005</v>
      </c>
      <c r="F32" s="70">
        <f t="shared" si="3"/>
        <v>0.46000000000000013</v>
      </c>
      <c r="G32" s="76">
        <f t="shared" si="4"/>
        <v>242.49826374121511</v>
      </c>
      <c r="H32" s="77">
        <f t="shared" si="5"/>
        <v>2315.3876232452112</v>
      </c>
      <c r="I32" s="78">
        <f t="shared" si="6"/>
        <v>0.77179587441507036</v>
      </c>
      <c r="J32" s="103">
        <f t="shared" si="7"/>
        <v>38.589793720753519</v>
      </c>
      <c r="O32" s="69">
        <v>0.5</v>
      </c>
    </row>
    <row r="33" spans="1:15">
      <c r="A33" s="68">
        <v>19</v>
      </c>
      <c r="B33" s="69">
        <v>2</v>
      </c>
      <c r="C33" s="74">
        <f t="shared" si="0"/>
        <v>6</v>
      </c>
      <c r="D33" s="75">
        <f t="shared" si="1"/>
        <v>6</v>
      </c>
      <c r="E33" s="69">
        <f t="shared" si="2"/>
        <v>1200</v>
      </c>
      <c r="F33" s="70">
        <f t="shared" si="3"/>
        <v>0.4</v>
      </c>
      <c r="G33" s="76">
        <f t="shared" si="4"/>
        <v>229.36926926886974</v>
      </c>
      <c r="H33" s="77">
        <f t="shared" si="5"/>
        <v>2190.0312151706216</v>
      </c>
      <c r="I33" s="78">
        <f t="shared" si="6"/>
        <v>0.73001040505687387</v>
      </c>
      <c r="J33" s="103">
        <f t="shared" si="7"/>
        <v>36.500520252843693</v>
      </c>
      <c r="O33" s="69">
        <v>0.5</v>
      </c>
    </row>
    <row r="34" spans="1:15">
      <c r="A34" s="68">
        <v>20</v>
      </c>
      <c r="B34" s="69">
        <v>2.1</v>
      </c>
      <c r="C34" s="74">
        <f t="shared" si="0"/>
        <v>6.3000000000000007</v>
      </c>
      <c r="D34" s="75">
        <f t="shared" si="1"/>
        <v>5.0999999999999979</v>
      </c>
      <c r="E34" s="69">
        <f t="shared" si="2"/>
        <v>1019.9999999999995</v>
      </c>
      <c r="F34" s="70">
        <f t="shared" si="3"/>
        <v>0.33999999999999986</v>
      </c>
      <c r="G34" s="76">
        <f t="shared" si="4"/>
        <v>215.59707650259807</v>
      </c>
      <c r="H34" s="77">
        <f t="shared" si="5"/>
        <v>2058.5335121190142</v>
      </c>
      <c r="I34" s="78">
        <f t="shared" si="6"/>
        <v>0.68617783737300475</v>
      </c>
      <c r="J34" s="103">
        <f t="shared" si="7"/>
        <v>34.308891868650235</v>
      </c>
      <c r="O34" s="69">
        <v>0.5</v>
      </c>
    </row>
    <row r="35" spans="1:15">
      <c r="A35" s="68">
        <v>21</v>
      </c>
      <c r="B35" s="69">
        <v>2.2000000000000002</v>
      </c>
      <c r="C35" s="74">
        <f t="shared" si="0"/>
        <v>6.6000000000000005</v>
      </c>
      <c r="D35" s="75">
        <f t="shared" si="1"/>
        <v>4.1999999999999993</v>
      </c>
      <c r="E35" s="69">
        <f t="shared" si="2"/>
        <v>839.99999999999989</v>
      </c>
      <c r="F35" s="70">
        <f t="shared" si="3"/>
        <v>0.27999999999999997</v>
      </c>
      <c r="G35" s="76">
        <f t="shared" si="4"/>
        <v>201.25397334135647</v>
      </c>
      <c r="H35" s="77">
        <f t="shared" si="5"/>
        <v>1921.5847231829073</v>
      </c>
      <c r="I35" s="78">
        <f t="shared" si="6"/>
        <v>0.64052824106096906</v>
      </c>
      <c r="J35" s="103">
        <f t="shared" si="7"/>
        <v>32.026412053048453</v>
      </c>
      <c r="O35" s="69">
        <v>0.5</v>
      </c>
    </row>
    <row r="36" spans="1:15">
      <c r="A36" s="68">
        <v>22</v>
      </c>
      <c r="B36" s="69">
        <v>2.2999999999999998</v>
      </c>
      <c r="C36" s="74">
        <f t="shared" si="0"/>
        <v>6.8999999999999995</v>
      </c>
      <c r="D36" s="75">
        <f t="shared" si="1"/>
        <v>3.3000000000000007</v>
      </c>
      <c r="E36" s="69">
        <f t="shared" si="2"/>
        <v>660.00000000000011</v>
      </c>
      <c r="F36" s="70">
        <f t="shared" si="3"/>
        <v>0.22000000000000003</v>
      </c>
      <c r="G36" s="76">
        <f t="shared" si="4"/>
        <v>186.4041233772042</v>
      </c>
      <c r="H36" s="77">
        <f t="shared" si="5"/>
        <v>1779.7974860967938</v>
      </c>
      <c r="I36" s="78">
        <f t="shared" si="6"/>
        <v>0.5932658286989313</v>
      </c>
      <c r="J36" s="103">
        <f t="shared" si="7"/>
        <v>29.663291434946565</v>
      </c>
      <c r="O36" s="69">
        <v>0.5</v>
      </c>
    </row>
    <row r="37" spans="1:15">
      <c r="A37" s="68">
        <v>23</v>
      </c>
      <c r="B37" s="69">
        <v>2.4</v>
      </c>
      <c r="C37" s="74">
        <f t="shared" si="0"/>
        <v>7.1999999999999993</v>
      </c>
      <c r="D37" s="75">
        <f t="shared" si="1"/>
        <v>2.4000000000000021</v>
      </c>
      <c r="E37" s="69">
        <f t="shared" si="2"/>
        <v>480.00000000000045</v>
      </c>
      <c r="F37" s="70">
        <f t="shared" si="3"/>
        <v>0.16000000000000014</v>
      </c>
      <c r="G37" s="76">
        <f t="shared" si="4"/>
        <v>171.1044789715377</v>
      </c>
      <c r="H37" s="77">
        <f t="shared" si="5"/>
        <v>1633.7155853424986</v>
      </c>
      <c r="I37" s="78">
        <f t="shared" si="6"/>
        <v>0.54457186178083283</v>
      </c>
      <c r="J37" s="103">
        <f t="shared" si="7"/>
        <v>27.228593089041642</v>
      </c>
      <c r="O37" s="69">
        <v>0.5</v>
      </c>
    </row>
    <row r="38" spans="1:15">
      <c r="A38" s="68">
        <v>24</v>
      </c>
      <c r="B38" s="69">
        <v>2.5</v>
      </c>
      <c r="C38" s="74">
        <f t="shared" si="0"/>
        <v>7.5</v>
      </c>
      <c r="D38" s="75">
        <f t="shared" si="1"/>
        <v>1.5</v>
      </c>
      <c r="E38" s="69">
        <f t="shared" si="2"/>
        <v>300</v>
      </c>
      <c r="F38" s="70">
        <f t="shared" si="3"/>
        <v>0.1</v>
      </c>
      <c r="G38" s="76">
        <f t="shared" si="4"/>
        <v>155.40559171232968</v>
      </c>
      <c r="H38" s="77">
        <f t="shared" si="5"/>
        <v>1483.8216904423587</v>
      </c>
      <c r="I38" s="78">
        <f t="shared" si="6"/>
        <v>0.49460723014745289</v>
      </c>
      <c r="J38" s="103">
        <f t="shared" si="7"/>
        <v>24.730361507372645</v>
      </c>
      <c r="O38" s="69">
        <v>0.5</v>
      </c>
    </row>
    <row r="39" spans="1:15">
      <c r="A39" s="68">
        <v>25</v>
      </c>
      <c r="B39" s="69">
        <v>2.6</v>
      </c>
      <c r="C39" s="74">
        <f t="shared" si="0"/>
        <v>7.8000000000000007</v>
      </c>
      <c r="D39" s="75">
        <f t="shared" si="1"/>
        <v>0.59999999999999787</v>
      </c>
      <c r="E39" s="69">
        <f t="shared" si="2"/>
        <v>119.99999999999956</v>
      </c>
      <c r="F39" s="70">
        <f t="shared" si="3"/>
        <v>3.9999999999999855E-2</v>
      </c>
      <c r="G39" s="76">
        <f t="shared" si="4"/>
        <v>139.35233178553736</v>
      </c>
      <c r="H39" s="77">
        <f t="shared" si="5"/>
        <v>1330.5442245595546</v>
      </c>
      <c r="I39" s="78">
        <f t="shared" si="6"/>
        <v>0.44351474151985154</v>
      </c>
      <c r="J39" s="103">
        <f t="shared" si="7"/>
        <v>22.175737075992576</v>
      </c>
      <c r="O39" s="69">
        <v>0.5</v>
      </c>
    </row>
    <row r="40" spans="1:15">
      <c r="A40" s="68">
        <v>26</v>
      </c>
      <c r="B40" s="69">
        <v>2.7</v>
      </c>
      <c r="C40" s="74">
        <f t="shared" si="0"/>
        <v>8.1000000000000014</v>
      </c>
      <c r="D40" s="75">
        <f t="shared" si="1"/>
        <v>-0.30000000000000426</v>
      </c>
      <c r="E40" s="69">
        <f t="shared" si="2"/>
        <v>-60.000000000000853</v>
      </c>
      <c r="F40" s="70">
        <f t="shared" si="3"/>
        <v>-2.0000000000000285E-2</v>
      </c>
      <c r="G40" s="76">
        <f t="shared" si="4"/>
        <v>122.98452649765258</v>
      </c>
      <c r="H40" s="77">
        <f t="shared" si="5"/>
        <v>1174.2634611488154</v>
      </c>
      <c r="I40" s="78">
        <f t="shared" si="6"/>
        <v>0.39142115371627179</v>
      </c>
      <c r="J40" s="103">
        <f t="shared" si="7"/>
        <v>19.571057685813589</v>
      </c>
      <c r="O40" s="69">
        <v>0.5</v>
      </c>
    </row>
    <row r="41" spans="1:15">
      <c r="A41" s="68">
        <v>27</v>
      </c>
      <c r="B41" s="69">
        <v>2.8</v>
      </c>
      <c r="C41" s="74">
        <f t="shared" si="0"/>
        <v>8.3999999999999986</v>
      </c>
      <c r="D41" s="75">
        <f t="shared" si="1"/>
        <v>-1.1999999999999957</v>
      </c>
      <c r="E41" s="69">
        <f t="shared" si="2"/>
        <v>-239.99999999999912</v>
      </c>
      <c r="F41" s="70">
        <f t="shared" si="3"/>
        <v>-7.999999999999971E-2</v>
      </c>
      <c r="G41" s="76">
        <f t="shared" si="4"/>
        <v>106.33752703585128</v>
      </c>
      <c r="H41" s="77">
        <f t="shared" si="5"/>
        <v>1015.3169354155119</v>
      </c>
      <c r="I41" s="78">
        <f t="shared" si="6"/>
        <v>0.33843897847183729</v>
      </c>
      <c r="J41" s="103">
        <f t="shared" si="7"/>
        <v>16.921948923591867</v>
      </c>
      <c r="O41" s="69">
        <v>0.5</v>
      </c>
    </row>
    <row r="42" spans="1:15">
      <c r="A42" s="68">
        <v>28</v>
      </c>
      <c r="B42" s="69">
        <v>2.9</v>
      </c>
      <c r="C42" s="74">
        <f t="shared" si="0"/>
        <v>8.6999999999999993</v>
      </c>
      <c r="D42" s="75">
        <f t="shared" si="1"/>
        <v>-2.0999999999999979</v>
      </c>
      <c r="E42" s="69">
        <f t="shared" si="2"/>
        <v>-419.99999999999955</v>
      </c>
      <c r="F42" s="70">
        <f t="shared" si="3"/>
        <v>-0.13999999999999985</v>
      </c>
      <c r="G42" s="76">
        <f t="shared" si="4"/>
        <v>89.442711530989641</v>
      </c>
      <c r="H42" s="77">
        <f t="shared" si="5"/>
        <v>854.00424759060775</v>
      </c>
      <c r="I42" s="78">
        <f t="shared" si="6"/>
        <v>0.28466808253020259</v>
      </c>
      <c r="J42" s="103">
        <f t="shared" si="7"/>
        <v>14.233404126510129</v>
      </c>
      <c r="O42" s="69">
        <v>0.5</v>
      </c>
    </row>
    <row r="43" spans="1:15">
      <c r="A43" s="68">
        <v>29</v>
      </c>
      <c r="B43" s="69">
        <v>3</v>
      </c>
      <c r="C43" s="74">
        <f t="shared" si="0"/>
        <v>9</v>
      </c>
      <c r="D43" s="75">
        <f t="shared" si="1"/>
        <v>-3</v>
      </c>
      <c r="E43" s="69">
        <f t="shared" si="2"/>
        <v>-600</v>
      </c>
      <c r="F43" s="70">
        <f t="shared" si="3"/>
        <v>-0.2</v>
      </c>
      <c r="G43" s="76">
        <f t="shared" si="4"/>
        <v>72.327931582255104</v>
      </c>
      <c r="H43" s="77">
        <f t="shared" si="5"/>
        <v>690.59132637417349</v>
      </c>
      <c r="I43" s="78">
        <f t="shared" si="6"/>
        <v>0.23019710879139116</v>
      </c>
      <c r="J43" s="103">
        <f t="shared" si="7"/>
        <v>11.509855439569558</v>
      </c>
      <c r="O43" s="69">
        <v>0.5</v>
      </c>
    </row>
    <row r="44" spans="1:15">
      <c r="A44" s="68">
        <v>30</v>
      </c>
      <c r="B44" s="69">
        <v>3.1</v>
      </c>
      <c r="C44" s="74">
        <f t="shared" si="0"/>
        <v>9.3000000000000007</v>
      </c>
      <c r="D44" s="75">
        <f t="shared" si="1"/>
        <v>-3.9000000000000021</v>
      </c>
      <c r="E44" s="69">
        <f t="shared" si="2"/>
        <v>-780.00000000000034</v>
      </c>
      <c r="F44" s="70">
        <f t="shared" si="3"/>
        <v>-0.26000000000000012</v>
      </c>
      <c r="G44" s="76">
        <f t="shared" si="4"/>
        <v>55.01790859771549</v>
      </c>
      <c r="H44" s="77">
        <f t="shared" si="5"/>
        <v>525.31421321816185</v>
      </c>
      <c r="I44" s="78">
        <f t="shared" si="6"/>
        <v>0.17510473773938728</v>
      </c>
      <c r="J44" s="103">
        <f t="shared" si="7"/>
        <v>8.7552368869693638</v>
      </c>
      <c r="O44" s="69">
        <v>0.5</v>
      </c>
    </row>
    <row r="45" spans="1:15">
      <c r="A45" s="68">
        <v>31</v>
      </c>
      <c r="B45" s="69">
        <v>3.2</v>
      </c>
      <c r="C45" s="74">
        <f t="shared" si="0"/>
        <v>9.6000000000000014</v>
      </c>
      <c r="D45" s="75">
        <f t="shared" si="1"/>
        <v>-4.8000000000000043</v>
      </c>
      <c r="E45" s="69">
        <f t="shared" si="2"/>
        <v>-960.00000000000091</v>
      </c>
      <c r="F45" s="70">
        <f t="shared" si="3"/>
        <v>-0.32000000000000028</v>
      </c>
      <c r="G45" s="76">
        <f t="shared" si="4"/>
        <v>37.534585590866776</v>
      </c>
      <c r="H45" s="77">
        <f t="shared" si="5"/>
        <v>358.38242130044665</v>
      </c>
      <c r="I45" s="78">
        <f t="shared" si="6"/>
        <v>0.11946080710014888</v>
      </c>
      <c r="J45" s="103">
        <f t="shared" si="7"/>
        <v>5.973040355007444</v>
      </c>
      <c r="O45" s="69">
        <v>0.5</v>
      </c>
    </row>
    <row r="46" spans="1:15">
      <c r="A46" s="68">
        <v>32</v>
      </c>
      <c r="B46" s="69">
        <v>3.3</v>
      </c>
      <c r="C46" s="74">
        <f t="shared" si="0"/>
        <v>9.8999999999999986</v>
      </c>
      <c r="D46" s="75">
        <f t="shared" ref="D46:D77" si="8">$D$7-C46*$I$4</f>
        <v>-5.6999999999999957</v>
      </c>
      <c r="E46" s="69">
        <f t="shared" ref="E46:E77" si="9">$D$1*(D46/$I$3)</f>
        <v>-1139.9999999999991</v>
      </c>
      <c r="F46" s="70">
        <f t="shared" ref="F46:F77" si="10">E46/$D$1</f>
        <v>-0.37999999999999967</v>
      </c>
      <c r="G46" s="76">
        <f t="shared" ref="G46:G77" si="11">($S$6*$D$7-$S$7*B46*$I$2+$S$8*G45)</f>
        <v>19.897439439399896</v>
      </c>
      <c r="H46" s="77">
        <f t="shared" si="5"/>
        <v>189.98191698981444</v>
      </c>
      <c r="I46" s="78">
        <f t="shared" si="6"/>
        <v>6.332730566327148E-2</v>
      </c>
      <c r="J46" s="103">
        <f t="shared" si="7"/>
        <v>3.1663652831635738</v>
      </c>
      <c r="O46" s="69">
        <v>0.5</v>
      </c>
    </row>
    <row r="47" spans="1:15">
      <c r="A47" s="68">
        <v>33</v>
      </c>
      <c r="B47" s="69">
        <v>3.4</v>
      </c>
      <c r="C47" s="74">
        <f t="shared" si="0"/>
        <v>10.199999999999999</v>
      </c>
      <c r="D47" s="75">
        <f t="shared" si="8"/>
        <v>-6.5999999999999979</v>
      </c>
      <c r="E47" s="69">
        <f t="shared" si="9"/>
        <v>-1319.9999999999995</v>
      </c>
      <c r="F47" s="70">
        <f t="shared" si="10"/>
        <v>-0.43999999999999984</v>
      </c>
      <c r="G47" s="76">
        <f t="shared" si="11"/>
        <v>2.123758049766554</v>
      </c>
      <c r="H47" s="77">
        <f t="shared" si="5"/>
        <v>20.2777662294706</v>
      </c>
      <c r="I47" s="78">
        <f t="shared" si="6"/>
        <v>6.7592554098235332E-3</v>
      </c>
      <c r="J47" s="103">
        <f t="shared" si="7"/>
        <v>0.33796277049117668</v>
      </c>
      <c r="O47" s="69">
        <v>0.5</v>
      </c>
    </row>
    <row r="48" spans="1:15">
      <c r="A48" s="68">
        <v>34</v>
      </c>
      <c r="B48" s="69">
        <v>3.5</v>
      </c>
      <c r="C48" s="74">
        <f t="shared" si="0"/>
        <v>10.5</v>
      </c>
      <c r="D48" s="75">
        <f t="shared" si="8"/>
        <v>-7.5</v>
      </c>
      <c r="E48" s="69">
        <f t="shared" si="9"/>
        <v>-1500</v>
      </c>
      <c r="F48" s="70">
        <f t="shared" si="10"/>
        <v>-0.5</v>
      </c>
      <c r="G48" s="76">
        <f t="shared" si="11"/>
        <v>-15.771113628281736</v>
      </c>
      <c r="H48" s="77">
        <f t="shared" si="5"/>
        <v>-150.58351650173523</v>
      </c>
      <c r="I48" s="78">
        <f t="shared" si="6"/>
        <v>-5.0194505500578412E-2</v>
      </c>
      <c r="J48" s="103">
        <f t="shared" si="7"/>
        <v>-2.5097252750289205</v>
      </c>
      <c r="O48" s="69">
        <v>0.5</v>
      </c>
    </row>
    <row r="49" spans="1:15">
      <c r="A49" s="68">
        <v>35</v>
      </c>
      <c r="B49" s="69">
        <v>3.6</v>
      </c>
      <c r="C49" s="74">
        <f t="shared" si="0"/>
        <v>10.8</v>
      </c>
      <c r="D49" s="75">
        <f t="shared" si="8"/>
        <v>-8.4000000000000057</v>
      </c>
      <c r="E49" s="69">
        <f t="shared" si="9"/>
        <v>-1680.0000000000011</v>
      </c>
      <c r="F49" s="70">
        <f t="shared" si="10"/>
        <v>-0.56000000000000039</v>
      </c>
      <c r="G49" s="76">
        <f t="shared" si="11"/>
        <v>-33.773555236286086</v>
      </c>
      <c r="H49" s="77">
        <f t="shared" si="5"/>
        <v>-322.47188322361001</v>
      </c>
      <c r="I49" s="78">
        <f t="shared" si="6"/>
        <v>-0.10749062774120334</v>
      </c>
      <c r="J49" s="103">
        <f t="shared" si="7"/>
        <v>-5.3745313870601672</v>
      </c>
      <c r="O49" s="69">
        <v>0.5</v>
      </c>
    </row>
    <row r="50" spans="1:15">
      <c r="A50" s="68">
        <v>36</v>
      </c>
      <c r="B50" s="69">
        <v>3.7</v>
      </c>
      <c r="C50" s="74">
        <f t="shared" si="0"/>
        <v>11.100000000000001</v>
      </c>
      <c r="D50" s="75">
        <f t="shared" si="8"/>
        <v>-9.3000000000000043</v>
      </c>
      <c r="E50" s="69">
        <f t="shared" si="9"/>
        <v>-1860.0000000000009</v>
      </c>
      <c r="F50" s="70">
        <f t="shared" si="10"/>
        <v>-0.62000000000000033</v>
      </c>
      <c r="G50" s="76">
        <f t="shared" si="11"/>
        <v>-51.87147718336783</v>
      </c>
      <c r="H50" s="77">
        <f t="shared" si="5"/>
        <v>-495.27190181446053</v>
      </c>
      <c r="I50" s="78">
        <f t="shared" si="6"/>
        <v>-0.16509063393815351</v>
      </c>
      <c r="J50" s="103">
        <f t="shared" si="7"/>
        <v>-8.2545316969076747</v>
      </c>
      <c r="O50" s="69">
        <v>0.5</v>
      </c>
    </row>
    <row r="51" spans="1:15">
      <c r="A51" s="68">
        <v>37</v>
      </c>
      <c r="B51" s="69">
        <v>3.8</v>
      </c>
      <c r="C51" s="74">
        <f t="shared" si="0"/>
        <v>11.399999999999999</v>
      </c>
      <c r="D51" s="75">
        <f t="shared" si="8"/>
        <v>-10.199999999999996</v>
      </c>
      <c r="E51" s="69">
        <f t="shared" si="9"/>
        <v>-2039.9999999999991</v>
      </c>
      <c r="F51" s="70">
        <f t="shared" si="10"/>
        <v>-0.67999999999999972</v>
      </c>
      <c r="G51" s="76">
        <f t="shared" si="11"/>
        <v>-70.054148606014564</v>
      </c>
      <c r="H51" s="77">
        <f t="shared" si="5"/>
        <v>-668.88111336105567</v>
      </c>
      <c r="I51" s="78">
        <f t="shared" si="6"/>
        <v>-0.22296037112035189</v>
      </c>
      <c r="J51" s="103">
        <f t="shared" si="7"/>
        <v>-11.148018556017595</v>
      </c>
      <c r="O51" s="69">
        <v>0.5</v>
      </c>
    </row>
    <row r="52" spans="1:15">
      <c r="A52" s="68">
        <v>38</v>
      </c>
      <c r="B52" s="69">
        <v>3.9</v>
      </c>
      <c r="C52" s="74">
        <f t="shared" si="0"/>
        <v>11.7</v>
      </c>
      <c r="D52" s="75">
        <f t="shared" si="8"/>
        <v>-11.099999999999994</v>
      </c>
      <c r="E52" s="69">
        <f t="shared" si="9"/>
        <v>-2219.9999999999991</v>
      </c>
      <c r="F52" s="70">
        <f t="shared" si="10"/>
        <v>-0.73999999999999966</v>
      </c>
      <c r="G52" s="76">
        <f t="shared" si="11"/>
        <v>-88.312044663156129</v>
      </c>
      <c r="H52" s="77">
        <f t="shared" si="5"/>
        <v>-843.20857412306941</v>
      </c>
      <c r="I52" s="78">
        <f t="shared" si="6"/>
        <v>-0.28106952470768981</v>
      </c>
      <c r="J52" s="103">
        <f t="shared" si="7"/>
        <v>-14.05347623538449</v>
      </c>
      <c r="O52" s="69">
        <v>0.5</v>
      </c>
    </row>
    <row r="53" spans="1:15">
      <c r="A53" s="68">
        <v>39</v>
      </c>
      <c r="B53" s="69">
        <v>4</v>
      </c>
      <c r="C53" s="74">
        <f t="shared" si="0"/>
        <v>12</v>
      </c>
      <c r="D53" s="75">
        <f t="shared" si="8"/>
        <v>-12</v>
      </c>
      <c r="E53" s="69">
        <f t="shared" si="9"/>
        <v>-2400</v>
      </c>
      <c r="F53" s="70">
        <f t="shared" si="10"/>
        <v>-0.8</v>
      </c>
      <c r="G53" s="76">
        <f t="shared" si="11"/>
        <v>-106.63671099347233</v>
      </c>
      <c r="H53" s="77">
        <f t="shared" si="5"/>
        <v>-1018.1735613635168</v>
      </c>
      <c r="I53" s="78">
        <f t="shared" si="6"/>
        <v>-0.33939118712117228</v>
      </c>
      <c r="J53" s="103">
        <f t="shared" si="7"/>
        <v>-16.969559356058614</v>
      </c>
      <c r="O53" s="69">
        <v>0.5</v>
      </c>
    </row>
    <row r="54" spans="1:15">
      <c r="A54" s="68">
        <v>40</v>
      </c>
      <c r="B54" s="69">
        <v>4</v>
      </c>
      <c r="C54" s="74">
        <f t="shared" si="0"/>
        <v>12</v>
      </c>
      <c r="D54" s="75">
        <f t="shared" si="8"/>
        <v>-12</v>
      </c>
      <c r="E54" s="69">
        <f t="shared" si="9"/>
        <v>-2400</v>
      </c>
      <c r="F54" s="70">
        <f t="shared" si="10"/>
        <v>-0.8</v>
      </c>
      <c r="G54" s="76">
        <f t="shared" si="11"/>
        <v>-122.90190104624982</v>
      </c>
      <c r="H54" s="77">
        <f t="shared" si="5"/>
        <v>-1173.4745485001574</v>
      </c>
      <c r="I54" s="78">
        <f t="shared" si="6"/>
        <v>-0.39115818283338583</v>
      </c>
      <c r="J54" s="103">
        <f t="shared" si="7"/>
        <v>-19.557909141669292</v>
      </c>
      <c r="O54" s="69">
        <v>0.5</v>
      </c>
    </row>
    <row r="55" spans="1:15">
      <c r="A55" s="68">
        <v>41</v>
      </c>
      <c r="B55" s="69">
        <v>4</v>
      </c>
      <c r="C55" s="74">
        <f t="shared" si="0"/>
        <v>12</v>
      </c>
      <c r="D55" s="75">
        <f t="shared" si="8"/>
        <v>-12</v>
      </c>
      <c r="E55" s="69">
        <f t="shared" si="9"/>
        <v>-2400</v>
      </c>
      <c r="F55" s="70">
        <f t="shared" si="10"/>
        <v>-0.8</v>
      </c>
      <c r="G55" s="76">
        <f t="shared" si="11"/>
        <v>-137.33907565473319</v>
      </c>
      <c r="H55" s="77">
        <f t="shared" si="5"/>
        <v>-1311.3215371234869</v>
      </c>
      <c r="I55" s="78">
        <f t="shared" si="6"/>
        <v>-0.43710717904116231</v>
      </c>
      <c r="J55" s="103">
        <f t="shared" si="7"/>
        <v>-21.855358952058115</v>
      </c>
      <c r="O55" s="69">
        <v>1</v>
      </c>
    </row>
    <row r="56" spans="1:15">
      <c r="A56" s="68">
        <v>42</v>
      </c>
      <c r="B56" s="69">
        <v>4</v>
      </c>
      <c r="C56" s="74">
        <f t="shared" si="0"/>
        <v>12</v>
      </c>
      <c r="D56" s="75">
        <f t="shared" si="8"/>
        <v>-12</v>
      </c>
      <c r="E56" s="69">
        <f t="shared" si="9"/>
        <v>-2400</v>
      </c>
      <c r="F56" s="70">
        <f t="shared" si="10"/>
        <v>-0.8</v>
      </c>
      <c r="G56" s="76">
        <f t="shared" si="11"/>
        <v>-150.15368218558311</v>
      </c>
      <c r="H56" s="77">
        <f t="shared" si="5"/>
        <v>-1433.676150721672</v>
      </c>
      <c r="I56" s="78">
        <f t="shared" si="6"/>
        <v>-0.47789205024055731</v>
      </c>
      <c r="J56" s="103">
        <f t="shared" si="7"/>
        <v>-23.894602512027866</v>
      </c>
      <c r="O56" s="69">
        <v>1</v>
      </c>
    </row>
    <row r="57" spans="1:15">
      <c r="A57" s="68">
        <v>43</v>
      </c>
      <c r="B57" s="69">
        <v>4</v>
      </c>
      <c r="C57" s="74">
        <f t="shared" si="0"/>
        <v>12</v>
      </c>
      <c r="D57" s="75">
        <f t="shared" si="8"/>
        <v>-12</v>
      </c>
      <c r="E57" s="69">
        <f t="shared" si="9"/>
        <v>-2400</v>
      </c>
      <c r="F57" s="70">
        <f t="shared" si="10"/>
        <v>-0.8</v>
      </c>
      <c r="G57" s="76">
        <f t="shared" si="11"/>
        <v>-161.52807814557985</v>
      </c>
      <c r="H57" s="77">
        <f t="shared" si="5"/>
        <v>-1542.2795494485665</v>
      </c>
      <c r="I57" s="78">
        <f t="shared" si="6"/>
        <v>-0.51409318314952213</v>
      </c>
      <c r="J57" s="103">
        <f t="shared" si="7"/>
        <v>-25.704659157476108</v>
      </c>
      <c r="O57" s="69">
        <v>1</v>
      </c>
    </row>
    <row r="58" spans="1:15">
      <c r="A58" s="68">
        <v>44</v>
      </c>
      <c r="B58" s="69">
        <v>4</v>
      </c>
      <c r="C58" s="74">
        <f t="shared" si="0"/>
        <v>12</v>
      </c>
      <c r="D58" s="75">
        <f t="shared" si="8"/>
        <v>-12</v>
      </c>
      <c r="E58" s="69">
        <f t="shared" si="9"/>
        <v>-2400</v>
      </c>
      <c r="F58" s="70">
        <f t="shared" si="10"/>
        <v>-0.8</v>
      </c>
      <c r="G58" s="76">
        <f t="shared" si="11"/>
        <v>-171.62412620943013</v>
      </c>
      <c r="H58" s="77">
        <f t="shared" si="5"/>
        <v>-1638.6772076011789</v>
      </c>
      <c r="I58" s="78">
        <f t="shared" si="6"/>
        <v>-0.54622573586705958</v>
      </c>
      <c r="J58" s="103">
        <f t="shared" si="7"/>
        <v>-27.311286793352981</v>
      </c>
      <c r="O58" s="69">
        <v>1</v>
      </c>
    </row>
    <row r="59" spans="1:15">
      <c r="A59" s="68">
        <v>45</v>
      </c>
      <c r="B59" s="69">
        <v>4</v>
      </c>
      <c r="C59" s="74">
        <f t="shared" si="0"/>
        <v>12</v>
      </c>
      <c r="D59" s="75">
        <f t="shared" si="8"/>
        <v>-12</v>
      </c>
      <c r="E59" s="69">
        <f t="shared" si="9"/>
        <v>-2400</v>
      </c>
      <c r="F59" s="70">
        <f t="shared" si="10"/>
        <v>-0.8</v>
      </c>
      <c r="G59" s="76">
        <f t="shared" si="11"/>
        <v>-180.58549759706767</v>
      </c>
      <c r="H59" s="77">
        <f t="shared" si="5"/>
        <v>-1724.240906401028</v>
      </c>
      <c r="I59" s="78">
        <f t="shared" si="6"/>
        <v>-0.57474696880034271</v>
      </c>
      <c r="J59" s="103">
        <f t="shared" si="7"/>
        <v>-28.737348440017133</v>
      </c>
      <c r="O59" s="69">
        <v>1</v>
      </c>
    </row>
    <row r="60" spans="1:15">
      <c r="A60" s="68">
        <v>46</v>
      </c>
      <c r="B60" s="69">
        <v>4</v>
      </c>
      <c r="C60" s="74">
        <f t="shared" si="0"/>
        <v>12</v>
      </c>
      <c r="D60" s="75">
        <f t="shared" si="8"/>
        <v>-12</v>
      </c>
      <c r="E60" s="69">
        <f t="shared" si="9"/>
        <v>-2400</v>
      </c>
      <c r="F60" s="70">
        <f t="shared" si="10"/>
        <v>-0.8</v>
      </c>
      <c r="G60" s="76">
        <f t="shared" si="11"/>
        <v>-188.53971657852361</v>
      </c>
      <c r="H60" s="77">
        <f t="shared" si="5"/>
        <v>-1800.1882550463745</v>
      </c>
      <c r="I60" s="78">
        <f t="shared" si="6"/>
        <v>-0.60006275168212486</v>
      </c>
      <c r="J60" s="103">
        <f t="shared" si="7"/>
        <v>-30.003137584106241</v>
      </c>
      <c r="O60" s="69">
        <v>1</v>
      </c>
    </row>
    <row r="61" spans="1:15">
      <c r="A61" s="68">
        <v>47</v>
      </c>
      <c r="B61" s="69">
        <v>4</v>
      </c>
      <c r="C61" s="74">
        <f t="shared" si="0"/>
        <v>12</v>
      </c>
      <c r="D61" s="75">
        <f t="shared" si="8"/>
        <v>-12</v>
      </c>
      <c r="E61" s="69">
        <f t="shared" si="9"/>
        <v>-2400</v>
      </c>
      <c r="F61" s="70">
        <f t="shared" si="10"/>
        <v>-0.8</v>
      </c>
      <c r="G61" s="76">
        <f t="shared" si="11"/>
        <v>-195.59997520057289</v>
      </c>
      <c r="H61" s="77">
        <f t="shared" si="5"/>
        <v>-1867.6000178285128</v>
      </c>
      <c r="I61" s="78">
        <f t="shared" si="6"/>
        <v>-0.62253333927617094</v>
      </c>
      <c r="J61" s="103">
        <f t="shared" si="7"/>
        <v>-31.126666963808546</v>
      </c>
      <c r="O61" s="69">
        <v>1</v>
      </c>
    </row>
    <row r="62" spans="1:15">
      <c r="A62" s="68">
        <v>48</v>
      </c>
      <c r="B62" s="69">
        <v>4</v>
      </c>
      <c r="C62" s="74">
        <f t="shared" si="0"/>
        <v>12</v>
      </c>
      <c r="D62" s="75">
        <f t="shared" si="8"/>
        <v>-12</v>
      </c>
      <c r="E62" s="69">
        <f t="shared" si="9"/>
        <v>-2400</v>
      </c>
      <c r="F62" s="70">
        <f t="shared" si="10"/>
        <v>-0.8</v>
      </c>
      <c r="G62" s="76">
        <f t="shared" si="11"/>
        <v>-201.86674405951834</v>
      </c>
      <c r="H62" s="77">
        <f t="shared" si="5"/>
        <v>-1927.4354938846438</v>
      </c>
      <c r="I62" s="78">
        <f t="shared" si="6"/>
        <v>-0.64247849796154799</v>
      </c>
      <c r="J62" s="103">
        <f t="shared" si="7"/>
        <v>-32.123924898077398</v>
      </c>
      <c r="O62" s="69">
        <v>1</v>
      </c>
    </row>
    <row r="63" spans="1:15">
      <c r="A63" s="68">
        <v>49</v>
      </c>
      <c r="B63" s="69">
        <v>4</v>
      </c>
      <c r="C63" s="74">
        <f t="shared" si="0"/>
        <v>12</v>
      </c>
      <c r="D63" s="75">
        <f t="shared" si="8"/>
        <v>-12</v>
      </c>
      <c r="E63" s="69">
        <f t="shared" si="9"/>
        <v>-2400</v>
      </c>
      <c r="F63" s="70">
        <f t="shared" si="10"/>
        <v>-0.8</v>
      </c>
      <c r="G63" s="76">
        <f t="shared" si="11"/>
        <v>-207.42920204211975</v>
      </c>
      <c r="H63" s="77">
        <f t="shared" si="5"/>
        <v>-1980.5461684479926</v>
      </c>
      <c r="I63" s="78">
        <f t="shared" si="6"/>
        <v>-0.6601820561493309</v>
      </c>
      <c r="J63" s="103">
        <f t="shared" si="7"/>
        <v>-33.00910280746654</v>
      </c>
      <c r="O63" s="69">
        <v>1</v>
      </c>
    </row>
    <row r="64" spans="1:15">
      <c r="A64" s="68">
        <v>50</v>
      </c>
      <c r="B64" s="69">
        <v>4</v>
      </c>
      <c r="C64" s="74">
        <f t="shared" si="0"/>
        <v>12</v>
      </c>
      <c r="D64" s="75">
        <f t="shared" si="8"/>
        <v>-12</v>
      </c>
      <c r="E64" s="69">
        <f t="shared" si="9"/>
        <v>-2400</v>
      </c>
      <c r="F64" s="70">
        <f t="shared" si="10"/>
        <v>-0.8</v>
      </c>
      <c r="G64" s="76">
        <f t="shared" si="11"/>
        <v>-212.36650538051242</v>
      </c>
      <c r="H64" s="77">
        <f t="shared" si="5"/>
        <v>-2027.6878298584891</v>
      </c>
      <c r="I64" s="78">
        <f t="shared" si="6"/>
        <v>-0.67589594328616298</v>
      </c>
      <c r="J64" s="103">
        <f t="shared" si="7"/>
        <v>-33.79479716430815</v>
      </c>
      <c r="O64" s="69">
        <v>1</v>
      </c>
    </row>
    <row r="65" spans="1:15">
      <c r="A65" s="68">
        <v>51</v>
      </c>
      <c r="B65" s="69">
        <v>4</v>
      </c>
      <c r="C65" s="74">
        <f t="shared" si="0"/>
        <v>12</v>
      </c>
      <c r="D65" s="75">
        <f t="shared" si="8"/>
        <v>-12</v>
      </c>
      <c r="E65" s="69">
        <f t="shared" si="9"/>
        <v>-2400</v>
      </c>
      <c r="F65" s="70">
        <f t="shared" si="10"/>
        <v>-0.8</v>
      </c>
      <c r="G65" s="76">
        <f t="shared" si="11"/>
        <v>-216.74891408032659</v>
      </c>
      <c r="H65" s="77">
        <f t="shared" si="5"/>
        <v>-2069.5313247644171</v>
      </c>
      <c r="I65" s="78">
        <f t="shared" si="6"/>
        <v>-0.68984377492147242</v>
      </c>
      <c r="J65" s="103">
        <f t="shared" si="7"/>
        <v>-34.492188746073616</v>
      </c>
      <c r="O65" s="69">
        <v>1</v>
      </c>
    </row>
    <row r="66" spans="1:15">
      <c r="A66" s="68">
        <v>52</v>
      </c>
      <c r="B66" s="69">
        <v>4</v>
      </c>
      <c r="C66" s="74">
        <f t="shared" si="0"/>
        <v>12</v>
      </c>
      <c r="D66" s="75">
        <f t="shared" si="8"/>
        <v>-12</v>
      </c>
      <c r="E66" s="69">
        <f t="shared" si="9"/>
        <v>-2400</v>
      </c>
      <c r="F66" s="70">
        <f t="shared" si="10"/>
        <v>-0.8</v>
      </c>
      <c r="G66" s="76">
        <f t="shared" si="11"/>
        <v>-220.63879175157763</v>
      </c>
      <c r="H66" s="77">
        <f t="shared" si="5"/>
        <v>-2106.6721045663044</v>
      </c>
      <c r="I66" s="78">
        <f t="shared" si="6"/>
        <v>-0.70222403485543483</v>
      </c>
      <c r="J66" s="103">
        <f t="shared" si="7"/>
        <v>-35.11120174277174</v>
      </c>
      <c r="O66" s="69">
        <v>1</v>
      </c>
    </row>
    <row r="67" spans="1:15">
      <c r="A67" s="68">
        <v>53</v>
      </c>
      <c r="B67" s="69">
        <v>4</v>
      </c>
      <c r="C67" s="74">
        <f t="shared" si="0"/>
        <v>12</v>
      </c>
      <c r="D67" s="75">
        <f t="shared" si="8"/>
        <v>-12</v>
      </c>
      <c r="E67" s="69">
        <f t="shared" si="9"/>
        <v>-2400</v>
      </c>
      <c r="F67" s="70">
        <f t="shared" si="10"/>
        <v>-0.8</v>
      </c>
      <c r="G67" s="76">
        <f t="shared" si="11"/>
        <v>-224.09149307036131</v>
      </c>
      <c r="H67" s="77">
        <f t="shared" si="5"/>
        <v>-2139.6386989531634</v>
      </c>
      <c r="I67" s="78">
        <f t="shared" si="6"/>
        <v>-0.7132128996510545</v>
      </c>
      <c r="J67" s="103">
        <f t="shared" si="7"/>
        <v>-35.660644982552725</v>
      </c>
      <c r="O67" s="69">
        <v>1</v>
      </c>
    </row>
    <row r="68" spans="1:15">
      <c r="A68" s="68">
        <v>54</v>
      </c>
      <c r="B68" s="69">
        <v>4</v>
      </c>
      <c r="C68" s="74">
        <f t="shared" si="0"/>
        <v>12</v>
      </c>
      <c r="D68" s="75">
        <f t="shared" si="8"/>
        <v>-12</v>
      </c>
      <c r="E68" s="69">
        <f t="shared" si="9"/>
        <v>-2400</v>
      </c>
      <c r="F68" s="70">
        <f t="shared" si="10"/>
        <v>-0.8</v>
      </c>
      <c r="G68" s="76">
        <f t="shared" si="11"/>
        <v>-227.1561515003259</v>
      </c>
      <c r="H68" s="77">
        <f t="shared" si="5"/>
        <v>-2168.9002371132328</v>
      </c>
      <c r="I68" s="78">
        <f t="shared" si="6"/>
        <v>-0.722966745704411</v>
      </c>
      <c r="J68" s="103">
        <f t="shared" si="7"/>
        <v>-36.148337285220549</v>
      </c>
      <c r="O68" s="69">
        <v>1</v>
      </c>
    </row>
    <row r="69" spans="1:15">
      <c r="A69" s="68">
        <v>55</v>
      </c>
      <c r="B69" s="69">
        <v>4</v>
      </c>
      <c r="C69" s="74">
        <f t="shared" si="0"/>
        <v>12</v>
      </c>
      <c r="D69" s="75">
        <f t="shared" si="8"/>
        <v>-12</v>
      </c>
      <c r="E69" s="69">
        <f t="shared" si="9"/>
        <v>-2400</v>
      </c>
      <c r="F69" s="70">
        <f t="shared" si="10"/>
        <v>-0.8</v>
      </c>
      <c r="G69" s="76">
        <f t="shared" si="11"/>
        <v>-229.87637848354547</v>
      </c>
      <c r="H69" s="77">
        <f t="shared" si="5"/>
        <v>-2194.8731236493841</v>
      </c>
      <c r="I69" s="78">
        <f t="shared" si="6"/>
        <v>-0.73162437454979468</v>
      </c>
      <c r="J69" s="103">
        <f t="shared" si="7"/>
        <v>-36.581218727489734</v>
      </c>
      <c r="O69" s="69">
        <v>1</v>
      </c>
    </row>
    <row r="70" spans="1:15">
      <c r="A70" s="68">
        <v>56</v>
      </c>
      <c r="B70" s="69">
        <v>4</v>
      </c>
      <c r="C70" s="74">
        <f t="shared" si="0"/>
        <v>12</v>
      </c>
      <c r="D70" s="75">
        <f t="shared" si="8"/>
        <v>-12</v>
      </c>
      <c r="E70" s="69">
        <f t="shared" si="9"/>
        <v>-2400</v>
      </c>
      <c r="F70" s="70">
        <f t="shared" si="10"/>
        <v>-0.8</v>
      </c>
      <c r="G70" s="76">
        <f t="shared" si="11"/>
        <v>-232.29088405058877</v>
      </c>
      <c r="H70" s="77">
        <f t="shared" si="5"/>
        <v>-2217.9269642004019</v>
      </c>
      <c r="I70" s="78">
        <f t="shared" si="6"/>
        <v>-0.73930898806680068</v>
      </c>
      <c r="J70" s="103">
        <f t="shared" si="7"/>
        <v>-36.965449403340031</v>
      </c>
      <c r="O70" s="69">
        <v>1</v>
      </c>
    </row>
    <row r="71" spans="1:15">
      <c r="A71" s="68">
        <v>57</v>
      </c>
      <c r="B71" s="69">
        <v>4</v>
      </c>
      <c r="C71" s="74">
        <f t="shared" si="0"/>
        <v>12</v>
      </c>
      <c r="D71" s="75">
        <f t="shared" si="8"/>
        <v>-12</v>
      </c>
      <c r="E71" s="69">
        <f t="shared" si="9"/>
        <v>-2400</v>
      </c>
      <c r="F71" s="70">
        <f t="shared" si="10"/>
        <v>-0.8</v>
      </c>
      <c r="G71" s="76">
        <f t="shared" si="11"/>
        <v>-234.43402768133944</v>
      </c>
      <c r="H71" s="77">
        <f t="shared" si="5"/>
        <v>-2238.3898250923562</v>
      </c>
      <c r="I71" s="78">
        <f t="shared" si="6"/>
        <v>-0.74612994169745206</v>
      </c>
      <c r="J71" s="103">
        <f t="shared" si="7"/>
        <v>-37.306497084872603</v>
      </c>
      <c r="O71" s="69">
        <v>1</v>
      </c>
    </row>
    <row r="72" spans="1:15">
      <c r="A72" s="68">
        <v>58</v>
      </c>
      <c r="B72" s="69">
        <v>4</v>
      </c>
      <c r="C72" s="74">
        <f t="shared" si="0"/>
        <v>12</v>
      </c>
      <c r="D72" s="75">
        <f t="shared" si="8"/>
        <v>-12</v>
      </c>
      <c r="E72" s="69">
        <f t="shared" si="9"/>
        <v>-2400</v>
      </c>
      <c r="F72" s="70">
        <f t="shared" si="10"/>
        <v>-0.8</v>
      </c>
      <c r="G72" s="76">
        <f t="shared" si="11"/>
        <v>-236.33630725555952</v>
      </c>
      <c r="H72" s="77">
        <f t="shared" si="5"/>
        <v>-2256.5529018672137</v>
      </c>
      <c r="I72" s="78">
        <f t="shared" si="6"/>
        <v>-0.7521843006224046</v>
      </c>
      <c r="J72" s="103">
        <f t="shared" si="7"/>
        <v>-37.609215031120229</v>
      </c>
      <c r="O72" s="69">
        <v>1</v>
      </c>
    </row>
    <row r="73" spans="1:15">
      <c r="A73" s="68">
        <v>59</v>
      </c>
      <c r="B73" s="69">
        <v>4</v>
      </c>
      <c r="C73" s="74">
        <f t="shared" si="0"/>
        <v>12</v>
      </c>
      <c r="D73" s="75">
        <f t="shared" si="8"/>
        <v>-12</v>
      </c>
      <c r="E73" s="69">
        <f t="shared" si="9"/>
        <v>-2400</v>
      </c>
      <c r="F73" s="70">
        <f t="shared" si="10"/>
        <v>-0.8</v>
      </c>
      <c r="G73" s="76">
        <f t="shared" si="11"/>
        <v>-238.02479305117907</v>
      </c>
      <c r="H73" s="77">
        <f t="shared" si="5"/>
        <v>-2272.6746631239248</v>
      </c>
      <c r="I73" s="78">
        <f t="shared" si="6"/>
        <v>-0.75755822104130832</v>
      </c>
      <c r="J73" s="103">
        <f t="shared" si="7"/>
        <v>-37.877911052065414</v>
      </c>
      <c r="O73" s="69">
        <v>1</v>
      </c>
    </row>
    <row r="74" spans="1:15">
      <c r="A74" s="68">
        <v>60</v>
      </c>
      <c r="B74" s="69">
        <v>4</v>
      </c>
      <c r="C74" s="74">
        <f t="shared" si="0"/>
        <v>12</v>
      </c>
      <c r="D74" s="75">
        <f t="shared" si="8"/>
        <v>-12</v>
      </c>
      <c r="E74" s="69">
        <f t="shared" si="9"/>
        <v>-2400</v>
      </c>
      <c r="F74" s="70">
        <f t="shared" si="10"/>
        <v>-0.8</v>
      </c>
      <c r="G74" s="76">
        <f t="shared" si="11"/>
        <v>-239.52351296629871</v>
      </c>
      <c r="H74" s="77">
        <f t="shared" si="5"/>
        <v>-2286.9845286406626</v>
      </c>
      <c r="I74" s="78">
        <f t="shared" si="6"/>
        <v>-0.7623281762135542</v>
      </c>
      <c r="J74" s="103">
        <f t="shared" si="7"/>
        <v>-38.116408810677711</v>
      </c>
      <c r="O74" s="69">
        <v>1</v>
      </c>
    </row>
    <row r="75" spans="1:15">
      <c r="A75" s="68">
        <v>61</v>
      </c>
      <c r="B75" s="69">
        <v>4</v>
      </c>
      <c r="C75" s="74">
        <f t="shared" si="0"/>
        <v>12</v>
      </c>
      <c r="D75" s="75">
        <f t="shared" si="8"/>
        <v>-12</v>
      </c>
      <c r="E75" s="69">
        <f t="shared" si="9"/>
        <v>-2400</v>
      </c>
      <c r="F75" s="70">
        <f t="shared" si="10"/>
        <v>-0.8</v>
      </c>
      <c r="G75" s="76">
        <f t="shared" si="11"/>
        <v>-240.8537944467846</v>
      </c>
      <c r="H75" s="77">
        <f t="shared" si="5"/>
        <v>-2299.6861341195222</v>
      </c>
      <c r="I75" s="78">
        <f t="shared" si="6"/>
        <v>-0.76656204470650735</v>
      </c>
      <c r="J75" s="103">
        <f t="shared" si="7"/>
        <v>-38.328102235325368</v>
      </c>
      <c r="O75" s="69">
        <v>1</v>
      </c>
    </row>
    <row r="76" spans="1:15">
      <c r="A76" s="68">
        <v>62</v>
      </c>
      <c r="B76" s="69">
        <v>4</v>
      </c>
      <c r="C76" s="74">
        <f t="shared" si="0"/>
        <v>12</v>
      </c>
      <c r="D76" s="75">
        <f t="shared" si="8"/>
        <v>-12</v>
      </c>
      <c r="E76" s="69">
        <f t="shared" si="9"/>
        <v>-2400</v>
      </c>
      <c r="F76" s="70">
        <f t="shared" si="10"/>
        <v>-0.8</v>
      </c>
      <c r="G76" s="76">
        <f t="shared" si="11"/>
        <v>-242.03456798523627</v>
      </c>
      <c r="H76" s="77">
        <f t="shared" si="5"/>
        <v>-2310.9602290124408</v>
      </c>
      <c r="I76" s="78">
        <f t="shared" si="6"/>
        <v>-0.77032007633748023</v>
      </c>
      <c r="J76" s="103">
        <f t="shared" si="7"/>
        <v>-38.516003816874012</v>
      </c>
      <c r="O76" s="69">
        <v>1</v>
      </c>
    </row>
    <row r="77" spans="1:15">
      <c r="A77" s="68">
        <v>63</v>
      </c>
      <c r="B77" s="69">
        <v>4</v>
      </c>
      <c r="C77" s="74">
        <f t="shared" si="0"/>
        <v>12</v>
      </c>
      <c r="D77" s="75">
        <f t="shared" si="8"/>
        <v>-12</v>
      </c>
      <c r="E77" s="69">
        <f t="shared" si="9"/>
        <v>-2400</v>
      </c>
      <c r="F77" s="70">
        <f t="shared" si="10"/>
        <v>-0.8</v>
      </c>
      <c r="G77" s="76">
        <f t="shared" si="11"/>
        <v>-243.08263651025129</v>
      </c>
      <c r="H77" s="77">
        <f t="shared" si="5"/>
        <v>-2320.9672486656714</v>
      </c>
      <c r="I77" s="78">
        <f t="shared" si="6"/>
        <v>-0.77365574955522376</v>
      </c>
      <c r="J77" s="103">
        <f t="shared" si="7"/>
        <v>-38.682787477761188</v>
      </c>
      <c r="O77" s="69">
        <v>1</v>
      </c>
    </row>
    <row r="78" spans="1:15">
      <c r="A78" s="68">
        <v>64</v>
      </c>
      <c r="B78" s="69">
        <v>4</v>
      </c>
      <c r="C78" s="74">
        <f t="shared" ref="C78:C113" si="12">B78*$D$2</f>
        <v>12</v>
      </c>
      <c r="D78" s="75">
        <f t="shared" ref="D78:D109" si="13">$D$7-C78*$I$4</f>
        <v>-12</v>
      </c>
      <c r="E78" s="69">
        <f t="shared" ref="E78:E109" si="14">$D$1*(D78/$I$3)</f>
        <v>-2400</v>
      </c>
      <c r="F78" s="70">
        <f t="shared" ref="F78" si="15">E78/$D$1</f>
        <v>-0.8</v>
      </c>
      <c r="G78" s="76">
        <f t="shared" ref="G78:G113" si="16">($S$6*$D$7-$S$7*B78*$I$2+$S$8*G77)</f>
        <v>-244.01291449951543</v>
      </c>
      <c r="H78" s="77">
        <f t="shared" ref="H78:H113" si="17">G78*60/(2*3.142)</f>
        <v>-2329.8495973855706</v>
      </c>
      <c r="I78" s="78">
        <f t="shared" ref="I78:I113" si="18">H78/$D$1</f>
        <v>-0.77661653246185691</v>
      </c>
      <c r="J78" s="103">
        <f t="shared" si="7"/>
        <v>-38.830826623092847</v>
      </c>
      <c r="O78" s="69">
        <v>1</v>
      </c>
    </row>
    <row r="79" spans="1:15">
      <c r="A79" s="68">
        <v>65</v>
      </c>
      <c r="B79" s="69">
        <v>4</v>
      </c>
      <c r="C79" s="74">
        <f t="shared" si="12"/>
        <v>12</v>
      </c>
      <c r="D79" s="75">
        <f t="shared" si="13"/>
        <v>-12</v>
      </c>
      <c r="E79" s="69">
        <f t="shared" si="14"/>
        <v>-2400</v>
      </c>
      <c r="F79" s="70">
        <f t="shared" ref="F79:F113" si="19">E79/$D$1</f>
        <v>-0.8</v>
      </c>
      <c r="G79" s="76">
        <f t="shared" si="16"/>
        <v>-244.83864021940286</v>
      </c>
      <c r="H79" s="77">
        <f t="shared" si="17"/>
        <v>-2337.7336749147316</v>
      </c>
      <c r="I79" s="78">
        <f t="shared" si="18"/>
        <v>-0.77924455830491057</v>
      </c>
      <c r="J79" s="103">
        <f t="shared" ref="J79:J113" si="20">H79/60</f>
        <v>-38.962227915245528</v>
      </c>
      <c r="O79" s="69">
        <v>1</v>
      </c>
    </row>
    <row r="80" spans="1:15">
      <c r="A80" s="68">
        <v>66</v>
      </c>
      <c r="B80" s="69">
        <v>4</v>
      </c>
      <c r="C80" s="74">
        <f t="shared" si="12"/>
        <v>12</v>
      </c>
      <c r="D80" s="75">
        <f t="shared" si="13"/>
        <v>-12</v>
      </c>
      <c r="E80" s="69">
        <f t="shared" si="14"/>
        <v>-2400</v>
      </c>
      <c r="F80" s="70">
        <f t="shared" si="19"/>
        <v>-0.8</v>
      </c>
      <c r="G80" s="76">
        <f t="shared" si="16"/>
        <v>-245.57156411134929</v>
      </c>
      <c r="H80" s="77">
        <f t="shared" si="17"/>
        <v>-2344.7316751561038</v>
      </c>
      <c r="I80" s="78">
        <f t="shared" si="18"/>
        <v>-0.78157722505203464</v>
      </c>
      <c r="J80" s="103">
        <f t="shared" si="20"/>
        <v>-39.078861252601733</v>
      </c>
      <c r="O80" s="69">
        <v>1</v>
      </c>
    </row>
    <row r="81" spans="1:15">
      <c r="A81" s="68">
        <v>67</v>
      </c>
      <c r="B81" s="69">
        <v>4</v>
      </c>
      <c r="C81" s="74">
        <f t="shared" si="12"/>
        <v>12</v>
      </c>
      <c r="D81" s="75">
        <f t="shared" si="13"/>
        <v>-12</v>
      </c>
      <c r="E81" s="69">
        <f t="shared" si="14"/>
        <v>-2400</v>
      </c>
      <c r="F81" s="70">
        <f t="shared" si="19"/>
        <v>-0.8</v>
      </c>
      <c r="G81" s="76">
        <f t="shared" si="16"/>
        <v>-246.22211600582</v>
      </c>
      <c r="H81" s="77">
        <f t="shared" si="17"/>
        <v>-2350.943182741757</v>
      </c>
      <c r="I81" s="78">
        <f t="shared" si="18"/>
        <v>-0.78364772758058565</v>
      </c>
      <c r="J81" s="103">
        <f t="shared" si="20"/>
        <v>-39.182386379029282</v>
      </c>
      <c r="O81" s="69">
        <v>1</v>
      </c>
    </row>
    <row r="82" spans="1:15">
      <c r="A82" s="68">
        <v>68</v>
      </c>
      <c r="B82" s="69">
        <v>4</v>
      </c>
      <c r="C82" s="74">
        <f t="shared" si="12"/>
        <v>12</v>
      </c>
      <c r="D82" s="75">
        <f t="shared" si="13"/>
        <v>-12</v>
      </c>
      <c r="E82" s="69">
        <f t="shared" si="14"/>
        <v>-2400</v>
      </c>
      <c r="F82" s="70">
        <f t="shared" si="19"/>
        <v>-0.8</v>
      </c>
      <c r="G82" s="76">
        <f t="shared" si="16"/>
        <v>-246.79955354340041</v>
      </c>
      <c r="H82" s="77">
        <f t="shared" si="17"/>
        <v>-2356.4565901661404</v>
      </c>
      <c r="I82" s="78">
        <f t="shared" si="18"/>
        <v>-0.78548553005538013</v>
      </c>
      <c r="J82" s="103">
        <f t="shared" si="20"/>
        <v>-39.274276502769006</v>
      </c>
      <c r="O82" s="69">
        <v>1</v>
      </c>
    </row>
    <row r="83" spans="1:15">
      <c r="A83" s="68">
        <v>69</v>
      </c>
      <c r="B83" s="69">
        <v>4</v>
      </c>
      <c r="C83" s="74">
        <f t="shared" si="12"/>
        <v>12</v>
      </c>
      <c r="D83" s="75">
        <f t="shared" si="13"/>
        <v>-12</v>
      </c>
      <c r="E83" s="69">
        <f t="shared" si="14"/>
        <v>-2400</v>
      </c>
      <c r="F83" s="70">
        <f t="shared" si="19"/>
        <v>-0.8</v>
      </c>
      <c r="G83" s="76">
        <f t="shared" si="16"/>
        <v>-247.31209391510771</v>
      </c>
      <c r="H83" s="77">
        <f t="shared" si="17"/>
        <v>-2361.3503556502965</v>
      </c>
      <c r="I83" s="78">
        <f t="shared" si="18"/>
        <v>-0.78711678521676554</v>
      </c>
      <c r="J83" s="103">
        <f t="shared" si="20"/>
        <v>-39.355839260838273</v>
      </c>
      <c r="O83" s="69">
        <v>1</v>
      </c>
    </row>
    <row r="84" spans="1:15">
      <c r="A84" s="68">
        <v>70</v>
      </c>
      <c r="B84" s="69">
        <v>4</v>
      </c>
      <c r="C84" s="74">
        <f t="shared" si="12"/>
        <v>12</v>
      </c>
      <c r="D84" s="75">
        <f t="shared" si="13"/>
        <v>-12</v>
      </c>
      <c r="E84" s="69">
        <f t="shared" si="14"/>
        <v>-2400</v>
      </c>
      <c r="F84" s="70">
        <f t="shared" si="19"/>
        <v>-0.8</v>
      </c>
      <c r="G84" s="76">
        <f t="shared" si="16"/>
        <v>-247.76703079664583</v>
      </c>
      <c r="H84" s="77">
        <f t="shared" si="17"/>
        <v>-2365.6941196369748</v>
      </c>
      <c r="I84" s="78">
        <f t="shared" si="18"/>
        <v>-0.78856470654565824</v>
      </c>
      <c r="J84" s="103">
        <f t="shared" si="20"/>
        <v>-39.428235327282913</v>
      </c>
      <c r="O84" s="69">
        <v>1</v>
      </c>
    </row>
    <row r="85" spans="1:15">
      <c r="A85" s="68">
        <v>71</v>
      </c>
      <c r="B85" s="69">
        <v>0</v>
      </c>
      <c r="C85" s="74">
        <f t="shared" si="12"/>
        <v>0</v>
      </c>
      <c r="D85" s="75">
        <f t="shared" si="13"/>
        <v>24</v>
      </c>
      <c r="E85" s="69">
        <f t="shared" si="14"/>
        <v>4800</v>
      </c>
      <c r="F85" s="70">
        <f t="shared" si="19"/>
        <v>1.6</v>
      </c>
      <c r="G85" s="76">
        <f t="shared" si="16"/>
        <v>-163.42114374662509</v>
      </c>
      <c r="H85" s="77">
        <f t="shared" si="17"/>
        <v>-1560.3546506679672</v>
      </c>
      <c r="I85" s="78">
        <f t="shared" si="18"/>
        <v>-0.52011821688932236</v>
      </c>
      <c r="J85" s="103">
        <f t="shared" si="20"/>
        <v>-26.005910844466122</v>
      </c>
      <c r="O85" s="69">
        <v>1</v>
      </c>
    </row>
    <row r="86" spans="1:15">
      <c r="A86" s="68">
        <v>72</v>
      </c>
      <c r="B86" s="69">
        <v>0</v>
      </c>
      <c r="C86" s="74">
        <f t="shared" si="12"/>
        <v>0</v>
      </c>
      <c r="D86" s="75">
        <f t="shared" si="13"/>
        <v>24</v>
      </c>
      <c r="E86" s="69">
        <f t="shared" si="14"/>
        <v>4800</v>
      </c>
      <c r="F86" s="70">
        <f t="shared" si="19"/>
        <v>1.6</v>
      </c>
      <c r="G86" s="76">
        <f t="shared" si="16"/>
        <v>-88.554739179736757</v>
      </c>
      <c r="H86" s="77">
        <f t="shared" si="17"/>
        <v>-845.52583557991818</v>
      </c>
      <c r="I86" s="78">
        <f t="shared" si="18"/>
        <v>-0.28184194519330608</v>
      </c>
      <c r="J86" s="103">
        <f t="shared" si="20"/>
        <v>-14.092097259665303</v>
      </c>
      <c r="O86" s="69">
        <v>1</v>
      </c>
    </row>
    <row r="87" spans="1:15">
      <c r="A87" s="68">
        <v>73</v>
      </c>
      <c r="B87" s="69">
        <v>0</v>
      </c>
      <c r="C87" s="74">
        <f t="shared" si="12"/>
        <v>0</v>
      </c>
      <c r="D87" s="75">
        <f t="shared" si="13"/>
        <v>24</v>
      </c>
      <c r="E87" s="69">
        <f t="shared" si="14"/>
        <v>4800</v>
      </c>
      <c r="F87" s="70">
        <f t="shared" si="19"/>
        <v>1.6</v>
      </c>
      <c r="G87" s="76">
        <f t="shared" si="16"/>
        <v>-22.102435116006831</v>
      </c>
      <c r="H87" s="77">
        <f t="shared" si="17"/>
        <v>-211.0353448377482</v>
      </c>
      <c r="I87" s="78">
        <f t="shared" si="18"/>
        <v>-7.0345114945916068E-2</v>
      </c>
      <c r="J87" s="103">
        <f t="shared" si="20"/>
        <v>-3.5172557472958035</v>
      </c>
      <c r="O87" s="69">
        <v>1</v>
      </c>
    </row>
    <row r="88" spans="1:15">
      <c r="A88" s="68">
        <v>74</v>
      </c>
      <c r="B88" s="69">
        <v>0</v>
      </c>
      <c r="C88" s="74">
        <f t="shared" si="12"/>
        <v>0</v>
      </c>
      <c r="D88" s="75">
        <f t="shared" si="13"/>
        <v>24</v>
      </c>
      <c r="E88" s="69">
        <f t="shared" si="14"/>
        <v>4800</v>
      </c>
      <c r="F88" s="70">
        <f t="shared" si="19"/>
        <v>1.6</v>
      </c>
      <c r="G88" s="76">
        <f t="shared" si="16"/>
        <v>36.881414060736866</v>
      </c>
      <c r="H88" s="77">
        <f t="shared" si="17"/>
        <v>352.14590128011008</v>
      </c>
      <c r="I88" s="78">
        <f t="shared" si="18"/>
        <v>0.11738196709337002</v>
      </c>
      <c r="J88" s="103">
        <f t="shared" si="20"/>
        <v>5.8690983546685009</v>
      </c>
      <c r="O88" s="69">
        <v>1</v>
      </c>
    </row>
    <row r="89" spans="1:15">
      <c r="A89" s="68">
        <v>75</v>
      </c>
      <c r="B89" s="69">
        <v>0</v>
      </c>
      <c r="C89" s="74">
        <f t="shared" si="12"/>
        <v>0</v>
      </c>
      <c r="D89" s="75">
        <f t="shared" si="13"/>
        <v>24</v>
      </c>
      <c r="E89" s="69">
        <f t="shared" si="14"/>
        <v>4800</v>
      </c>
      <c r="F89" s="70">
        <f t="shared" si="19"/>
        <v>1.6</v>
      </c>
      <c r="G89" s="76">
        <f t="shared" si="16"/>
        <v>89.236174557352342</v>
      </c>
      <c r="H89" s="77">
        <f t="shared" si="17"/>
        <v>852.03222047121903</v>
      </c>
      <c r="I89" s="78">
        <f t="shared" si="18"/>
        <v>0.28401074015707301</v>
      </c>
      <c r="J89" s="103">
        <f t="shared" si="20"/>
        <v>14.200537007853651</v>
      </c>
      <c r="O89" s="69">
        <v>1</v>
      </c>
    </row>
    <row r="90" spans="1:15">
      <c r="A90" s="68">
        <v>76</v>
      </c>
      <c r="B90" s="69">
        <v>0</v>
      </c>
      <c r="C90" s="74">
        <f t="shared" si="12"/>
        <v>0</v>
      </c>
      <c r="D90" s="75">
        <f t="shared" si="13"/>
        <v>24</v>
      </c>
      <c r="E90" s="69">
        <f t="shared" si="14"/>
        <v>4800</v>
      </c>
      <c r="F90" s="70">
        <f t="shared" si="19"/>
        <v>1.6</v>
      </c>
      <c r="G90" s="76">
        <f t="shared" si="16"/>
        <v>135.70687772296918</v>
      </c>
      <c r="H90" s="77">
        <f t="shared" si="17"/>
        <v>1295.7372156871659</v>
      </c>
      <c r="I90" s="78">
        <f t="shared" si="18"/>
        <v>0.43191240522905527</v>
      </c>
      <c r="J90" s="103">
        <f t="shared" si="20"/>
        <v>21.595620261452765</v>
      </c>
      <c r="O90" s="69">
        <v>1</v>
      </c>
    </row>
    <row r="91" spans="1:15">
      <c r="A91" s="68">
        <v>77</v>
      </c>
      <c r="B91" s="69">
        <v>0</v>
      </c>
      <c r="C91" s="74">
        <f t="shared" si="12"/>
        <v>0</v>
      </c>
      <c r="D91" s="75">
        <f t="shared" si="13"/>
        <v>24</v>
      </c>
      <c r="E91" s="69">
        <f t="shared" si="14"/>
        <v>4800</v>
      </c>
      <c r="F91" s="70">
        <f t="shared" si="19"/>
        <v>1.6</v>
      </c>
      <c r="G91" s="76">
        <f t="shared" si="16"/>
        <v>176.9548221739131</v>
      </c>
      <c r="H91" s="77">
        <f t="shared" si="17"/>
        <v>1689.5750048432185</v>
      </c>
      <c r="I91" s="78">
        <f t="shared" si="18"/>
        <v>0.56319166828107281</v>
      </c>
      <c r="J91" s="103">
        <f t="shared" si="20"/>
        <v>28.159583414053643</v>
      </c>
      <c r="O91" s="69">
        <v>1</v>
      </c>
    </row>
    <row r="92" spans="1:15">
      <c r="A92" s="68">
        <v>78</v>
      </c>
      <c r="B92" s="69">
        <v>0</v>
      </c>
      <c r="C92" s="74">
        <f t="shared" si="12"/>
        <v>0</v>
      </c>
      <c r="D92" s="75">
        <f t="shared" si="13"/>
        <v>24</v>
      </c>
      <c r="E92" s="69">
        <f t="shared" si="14"/>
        <v>4800</v>
      </c>
      <c r="F92" s="70">
        <f t="shared" si="19"/>
        <v>1.6</v>
      </c>
      <c r="G92" s="76">
        <f t="shared" si="16"/>
        <v>213.56698436488676</v>
      </c>
      <c r="H92" s="77">
        <f t="shared" si="17"/>
        <v>2039.1500735030565</v>
      </c>
      <c r="I92" s="78">
        <f t="shared" si="18"/>
        <v>0.67971669116768552</v>
      </c>
      <c r="J92" s="103">
        <f t="shared" si="20"/>
        <v>33.985834558384276</v>
      </c>
      <c r="O92" s="69">
        <v>1</v>
      </c>
    </row>
    <row r="93" spans="1:15">
      <c r="A93" s="68">
        <v>79</v>
      </c>
      <c r="B93" s="69">
        <v>0</v>
      </c>
      <c r="C93" s="74">
        <f t="shared" si="12"/>
        <v>0</v>
      </c>
      <c r="D93" s="75">
        <f t="shared" si="13"/>
        <v>24</v>
      </c>
      <c r="E93" s="69">
        <f t="shared" si="14"/>
        <v>4800</v>
      </c>
      <c r="F93" s="70">
        <f t="shared" si="19"/>
        <v>1.6</v>
      </c>
      <c r="G93" s="76">
        <f t="shared" si="16"/>
        <v>246.06437152298759</v>
      </c>
      <c r="H93" s="77">
        <f t="shared" si="17"/>
        <v>2349.4370291819314</v>
      </c>
      <c r="I93" s="78">
        <f t="shared" si="18"/>
        <v>0.78314567639397714</v>
      </c>
      <c r="J93" s="103">
        <f t="shared" si="20"/>
        <v>39.157283819698854</v>
      </c>
      <c r="O93" s="69">
        <v>1</v>
      </c>
    </row>
    <row r="94" spans="1:15">
      <c r="A94" s="68">
        <v>80</v>
      </c>
      <c r="B94" s="69">
        <v>0</v>
      </c>
      <c r="C94" s="74">
        <f t="shared" si="12"/>
        <v>0</v>
      </c>
      <c r="D94" s="75">
        <f t="shared" si="13"/>
        <v>24</v>
      </c>
      <c r="E94" s="69">
        <f t="shared" si="14"/>
        <v>4800</v>
      </c>
      <c r="F94" s="70">
        <f t="shared" si="19"/>
        <v>1.6</v>
      </c>
      <c r="G94" s="76">
        <f t="shared" si="16"/>
        <v>274.90943581050084</v>
      </c>
      <c r="H94" s="77">
        <f t="shared" si="17"/>
        <v>2624.8513922072007</v>
      </c>
      <c r="I94" s="78">
        <f t="shared" si="18"/>
        <v>0.87495046406906685</v>
      </c>
      <c r="J94" s="103">
        <f t="shared" si="20"/>
        <v>43.747523203453348</v>
      </c>
      <c r="O94" s="69">
        <v>0.8</v>
      </c>
    </row>
    <row r="95" spans="1:15">
      <c r="A95" s="68">
        <v>81</v>
      </c>
      <c r="B95" s="69">
        <v>0</v>
      </c>
      <c r="C95" s="74">
        <f t="shared" si="12"/>
        <v>0</v>
      </c>
      <c r="D95" s="75">
        <f t="shared" si="13"/>
        <v>24</v>
      </c>
      <c r="E95" s="69">
        <f t="shared" si="14"/>
        <v>4800</v>
      </c>
      <c r="F95" s="70">
        <f t="shared" si="19"/>
        <v>1.6</v>
      </c>
      <c r="G95" s="76">
        <f t="shared" si="16"/>
        <v>300.51265522327645</v>
      </c>
      <c r="H95" s="77">
        <f t="shared" si="17"/>
        <v>2869.3124305214174</v>
      </c>
      <c r="I95" s="78">
        <f t="shared" si="18"/>
        <v>0.95643747684047242</v>
      </c>
      <c r="J95" s="103">
        <f t="shared" si="20"/>
        <v>47.821873842023621</v>
      </c>
      <c r="O95" s="69">
        <v>0.8</v>
      </c>
    </row>
    <row r="96" spans="1:15">
      <c r="A96" s="68">
        <v>82</v>
      </c>
      <c r="B96" s="69">
        <v>0</v>
      </c>
      <c r="C96" s="74">
        <f t="shared" si="12"/>
        <v>0</v>
      </c>
      <c r="D96" s="75">
        <f t="shared" si="13"/>
        <v>24</v>
      </c>
      <c r="E96" s="69">
        <f t="shared" si="14"/>
        <v>4800</v>
      </c>
      <c r="F96" s="70">
        <f t="shared" si="19"/>
        <v>1.6</v>
      </c>
      <c r="G96" s="76">
        <f t="shared" si="16"/>
        <v>323.23837487377835</v>
      </c>
      <c r="H96" s="77">
        <f t="shared" si="17"/>
        <v>3086.2989325949557</v>
      </c>
      <c r="I96" s="78">
        <f t="shared" si="18"/>
        <v>1.0287663108649852</v>
      </c>
      <c r="J96" s="103">
        <f t="shared" si="20"/>
        <v>51.43831554324926</v>
      </c>
      <c r="O96" s="69">
        <v>0.8</v>
      </c>
    </row>
    <row r="97" spans="1:15">
      <c r="A97" s="68">
        <v>83</v>
      </c>
      <c r="B97" s="69">
        <v>0</v>
      </c>
      <c r="C97" s="74">
        <f t="shared" si="12"/>
        <v>0</v>
      </c>
      <c r="D97" s="75">
        <f t="shared" si="13"/>
        <v>24</v>
      </c>
      <c r="E97" s="69">
        <f t="shared" si="14"/>
        <v>4800</v>
      </c>
      <c r="F97" s="70">
        <f t="shared" si="19"/>
        <v>1.6</v>
      </c>
      <c r="G97" s="76">
        <f t="shared" si="16"/>
        <v>343.40999178284187</v>
      </c>
      <c r="H97" s="77">
        <f t="shared" si="17"/>
        <v>3278.8987121213422</v>
      </c>
      <c r="I97" s="78">
        <f t="shared" si="18"/>
        <v>1.0929662373737807</v>
      </c>
      <c r="J97" s="103">
        <f t="shared" si="20"/>
        <v>54.648311868689035</v>
      </c>
      <c r="O97" s="69">
        <v>0.8</v>
      </c>
    </row>
    <row r="98" spans="1:15">
      <c r="A98" s="68">
        <v>84</v>
      </c>
      <c r="B98" s="69">
        <v>0</v>
      </c>
      <c r="C98" s="74">
        <f t="shared" si="12"/>
        <v>0</v>
      </c>
      <c r="D98" s="75">
        <f t="shared" si="13"/>
        <v>24</v>
      </c>
      <c r="E98" s="69">
        <f t="shared" si="14"/>
        <v>4800</v>
      </c>
      <c r="F98" s="70">
        <f t="shared" si="19"/>
        <v>1.6</v>
      </c>
      <c r="G98" s="76">
        <f t="shared" si="16"/>
        <v>361.31455696201454</v>
      </c>
      <c r="H98" s="77">
        <f t="shared" si="17"/>
        <v>3449.8525489689487</v>
      </c>
      <c r="I98" s="78">
        <f t="shared" si="18"/>
        <v>1.1499508496563162</v>
      </c>
      <c r="J98" s="103">
        <f t="shared" si="20"/>
        <v>57.49754248281581</v>
      </c>
      <c r="O98" s="69">
        <v>0.8</v>
      </c>
    </row>
    <row r="99" spans="1:15">
      <c r="A99" s="68">
        <v>85</v>
      </c>
      <c r="B99" s="69">
        <v>0</v>
      </c>
      <c r="C99" s="74">
        <f t="shared" si="12"/>
        <v>0</v>
      </c>
      <c r="D99" s="75">
        <f t="shared" si="13"/>
        <v>24</v>
      </c>
      <c r="E99" s="69">
        <f t="shared" si="14"/>
        <v>4800</v>
      </c>
      <c r="F99" s="70">
        <f t="shared" si="19"/>
        <v>1.6</v>
      </c>
      <c r="G99" s="76">
        <f t="shared" si="16"/>
        <v>377.20686027614317</v>
      </c>
      <c r="H99" s="77">
        <f t="shared" si="17"/>
        <v>3601.5931916881909</v>
      </c>
      <c r="I99" s="78">
        <f t="shared" si="18"/>
        <v>1.2005310638960636</v>
      </c>
      <c r="J99" s="103">
        <f t="shared" si="20"/>
        <v>60.026553194803185</v>
      </c>
      <c r="O99" s="69">
        <v>0.8</v>
      </c>
    </row>
    <row r="100" spans="1:15">
      <c r="A100" s="68">
        <v>86</v>
      </c>
      <c r="B100" s="69">
        <v>0</v>
      </c>
      <c r="C100" s="74">
        <f t="shared" si="12"/>
        <v>0</v>
      </c>
      <c r="D100" s="75">
        <f t="shared" si="13"/>
        <v>24</v>
      </c>
      <c r="E100" s="69">
        <f t="shared" si="14"/>
        <v>4800</v>
      </c>
      <c r="F100" s="70">
        <f t="shared" si="19"/>
        <v>1.6</v>
      </c>
      <c r="G100" s="76">
        <f t="shared" si="16"/>
        <v>391.31305621560438</v>
      </c>
      <c r="H100" s="77">
        <f t="shared" si="17"/>
        <v>3736.2799765971135</v>
      </c>
      <c r="I100" s="78">
        <f t="shared" si="18"/>
        <v>1.2454266588657046</v>
      </c>
      <c r="J100" s="103">
        <f t="shared" si="20"/>
        <v>62.271332943285223</v>
      </c>
      <c r="O100" s="69">
        <v>0.8</v>
      </c>
    </row>
    <row r="101" spans="1:15">
      <c r="A101" s="68">
        <v>87</v>
      </c>
      <c r="B101" s="69">
        <v>0</v>
      </c>
      <c r="C101" s="74">
        <f t="shared" si="12"/>
        <v>0</v>
      </c>
      <c r="D101" s="75">
        <f t="shared" si="13"/>
        <v>24</v>
      </c>
      <c r="E101" s="69">
        <f t="shared" si="14"/>
        <v>4800</v>
      </c>
      <c r="F101" s="70">
        <f t="shared" si="19"/>
        <v>1.6</v>
      </c>
      <c r="G101" s="76">
        <f t="shared" si="16"/>
        <v>403.83388217451801</v>
      </c>
      <c r="H101" s="77">
        <f t="shared" si="17"/>
        <v>3855.829556090242</v>
      </c>
      <c r="I101" s="78">
        <f t="shared" si="18"/>
        <v>1.2852765186967474</v>
      </c>
      <c r="J101" s="103">
        <f t="shared" si="20"/>
        <v>64.263825934837371</v>
      </c>
      <c r="O101" s="69">
        <v>0.8</v>
      </c>
    </row>
    <row r="102" spans="1:15">
      <c r="A102" s="68">
        <v>88</v>
      </c>
      <c r="B102" s="69">
        <v>0</v>
      </c>
      <c r="C102" s="74">
        <f t="shared" si="12"/>
        <v>0</v>
      </c>
      <c r="D102" s="75">
        <f t="shared" si="13"/>
        <v>24</v>
      </c>
      <c r="E102" s="69">
        <f t="shared" si="14"/>
        <v>4800</v>
      </c>
      <c r="F102" s="70">
        <f t="shared" si="19"/>
        <v>1.6</v>
      </c>
      <c r="G102" s="76">
        <f t="shared" si="16"/>
        <v>414.947515032463</v>
      </c>
      <c r="H102" s="77">
        <f t="shared" si="17"/>
        <v>3961.9431734480872</v>
      </c>
      <c r="I102" s="78">
        <f t="shared" si="18"/>
        <v>1.3206477244826957</v>
      </c>
      <c r="J102" s="103">
        <f t="shared" si="20"/>
        <v>66.032386224134783</v>
      </c>
      <c r="O102" s="69">
        <v>0.8</v>
      </c>
    </row>
    <row r="103" spans="1:15">
      <c r="A103" s="68">
        <v>89</v>
      </c>
      <c r="B103" s="69">
        <v>0</v>
      </c>
      <c r="C103" s="74">
        <f t="shared" si="12"/>
        <v>0</v>
      </c>
      <c r="D103" s="75">
        <f t="shared" si="13"/>
        <v>24</v>
      </c>
      <c r="E103" s="69">
        <f t="shared" si="14"/>
        <v>4800</v>
      </c>
      <c r="F103" s="70">
        <f t="shared" si="19"/>
        <v>1.6</v>
      </c>
      <c r="G103" s="76">
        <f t="shared" si="16"/>
        <v>424.81210669011358</v>
      </c>
      <c r="H103" s="77">
        <f t="shared" si="17"/>
        <v>4056.1308722798876</v>
      </c>
      <c r="I103" s="78">
        <f t="shared" si="18"/>
        <v>1.3520436240932958</v>
      </c>
      <c r="J103" s="103">
        <f t="shared" si="20"/>
        <v>67.602181204664788</v>
      </c>
      <c r="O103" s="69">
        <v>0.8</v>
      </c>
    </row>
    <row r="104" spans="1:15">
      <c r="A104" s="68">
        <v>90</v>
      </c>
      <c r="B104" s="69">
        <v>0</v>
      </c>
      <c r="C104" s="74">
        <f t="shared" si="12"/>
        <v>0</v>
      </c>
      <c r="D104" s="75">
        <f t="shared" si="13"/>
        <v>24</v>
      </c>
      <c r="E104" s="69">
        <f t="shared" si="14"/>
        <v>4800</v>
      </c>
      <c r="F104" s="70">
        <f t="shared" si="19"/>
        <v>1.6</v>
      </c>
      <c r="G104" s="76">
        <f t="shared" si="16"/>
        <v>433.56803464058783</v>
      </c>
      <c r="H104" s="77">
        <f t="shared" si="17"/>
        <v>4139.7329851106415</v>
      </c>
      <c r="I104" s="78">
        <f t="shared" si="18"/>
        <v>1.3799109950368804</v>
      </c>
      <c r="J104" s="103">
        <f t="shared" si="20"/>
        <v>68.995549751844024</v>
      </c>
      <c r="O104" s="69">
        <v>0.8</v>
      </c>
    </row>
    <row r="105" spans="1:15">
      <c r="A105" s="68">
        <v>91</v>
      </c>
      <c r="B105" s="69">
        <v>0</v>
      </c>
      <c r="C105" s="74">
        <f t="shared" si="12"/>
        <v>0</v>
      </c>
      <c r="D105" s="75">
        <f t="shared" si="13"/>
        <v>24</v>
      </c>
      <c r="E105" s="69">
        <f t="shared" si="14"/>
        <v>4800</v>
      </c>
      <c r="F105" s="70">
        <f t="shared" si="19"/>
        <v>1.6</v>
      </c>
      <c r="G105" s="76">
        <f t="shared" si="16"/>
        <v>441.33989960313158</v>
      </c>
      <c r="H105" s="77">
        <f t="shared" si="17"/>
        <v>4213.9392069045025</v>
      </c>
      <c r="I105" s="78">
        <f t="shared" si="18"/>
        <v>1.4046464023015008</v>
      </c>
      <c r="J105" s="103">
        <f t="shared" si="20"/>
        <v>70.232320115075041</v>
      </c>
      <c r="O105" s="69">
        <v>0.8</v>
      </c>
    </row>
    <row r="106" spans="1:15">
      <c r="A106" s="68">
        <v>92</v>
      </c>
      <c r="B106" s="69">
        <v>0</v>
      </c>
      <c r="C106" s="74">
        <f t="shared" si="12"/>
        <v>0</v>
      </c>
      <c r="D106" s="75">
        <f t="shared" si="13"/>
        <v>24</v>
      </c>
      <c r="E106" s="69">
        <f t="shared" si="14"/>
        <v>4800</v>
      </c>
      <c r="F106" s="70">
        <f t="shared" si="19"/>
        <v>1.6</v>
      </c>
      <c r="G106" s="76">
        <f t="shared" si="16"/>
        <v>448.23829864634706</v>
      </c>
      <c r="H106" s="77">
        <f t="shared" si="17"/>
        <v>4279.8055249492081</v>
      </c>
      <c r="I106" s="78">
        <f t="shared" si="18"/>
        <v>1.4266018416497361</v>
      </c>
      <c r="J106" s="103">
        <f t="shared" si="20"/>
        <v>71.3300920824868</v>
      </c>
      <c r="O106" s="69">
        <v>0.8</v>
      </c>
    </row>
    <row r="107" spans="1:15">
      <c r="A107" s="68">
        <v>93</v>
      </c>
      <c r="B107" s="69">
        <v>0</v>
      </c>
      <c r="C107" s="74">
        <f t="shared" si="12"/>
        <v>0</v>
      </c>
      <c r="D107" s="75">
        <f t="shared" si="13"/>
        <v>24</v>
      </c>
      <c r="E107" s="69">
        <f t="shared" si="14"/>
        <v>4800</v>
      </c>
      <c r="F107" s="70">
        <f t="shared" si="19"/>
        <v>1.6</v>
      </c>
      <c r="G107" s="76">
        <f t="shared" si="16"/>
        <v>454.36139903329212</v>
      </c>
      <c r="H107" s="77">
        <f t="shared" si="17"/>
        <v>4338.2692460212484</v>
      </c>
      <c r="I107" s="78">
        <f t="shared" si="18"/>
        <v>1.4460897486737494</v>
      </c>
      <c r="J107" s="103">
        <f t="shared" si="20"/>
        <v>72.30448743368747</v>
      </c>
      <c r="O107" s="69">
        <v>0.8</v>
      </c>
    </row>
    <row r="108" spans="1:15">
      <c r="A108" s="68">
        <v>94</v>
      </c>
      <c r="B108" s="69">
        <v>0</v>
      </c>
      <c r="C108" s="74">
        <f t="shared" si="12"/>
        <v>0</v>
      </c>
      <c r="D108" s="75">
        <f t="shared" si="13"/>
        <v>24</v>
      </c>
      <c r="E108" s="69">
        <f t="shared" si="14"/>
        <v>4800</v>
      </c>
      <c r="F108" s="70">
        <f t="shared" si="19"/>
        <v>1.6</v>
      </c>
      <c r="G108" s="76">
        <f t="shared" si="16"/>
        <v>459.79633518496053</v>
      </c>
      <c r="H108" s="77">
        <f t="shared" si="17"/>
        <v>4390.1623346749893</v>
      </c>
      <c r="I108" s="78">
        <f t="shared" si="18"/>
        <v>1.4633874448916631</v>
      </c>
      <c r="J108" s="103">
        <f t="shared" si="20"/>
        <v>73.169372244583158</v>
      </c>
      <c r="O108" s="69">
        <v>0.8</v>
      </c>
    </row>
    <row r="109" spans="1:15">
      <c r="A109" s="68">
        <v>95</v>
      </c>
      <c r="B109" s="69">
        <v>0</v>
      </c>
      <c r="C109" s="74">
        <f t="shared" si="12"/>
        <v>0</v>
      </c>
      <c r="D109" s="75">
        <f t="shared" si="13"/>
        <v>24</v>
      </c>
      <c r="E109" s="69">
        <f t="shared" si="14"/>
        <v>4800</v>
      </c>
      <c r="F109" s="70">
        <f t="shared" si="19"/>
        <v>1.6</v>
      </c>
      <c r="G109" s="76">
        <f t="shared" si="16"/>
        <v>464.62044864155041</v>
      </c>
      <c r="H109" s="77">
        <f t="shared" si="17"/>
        <v>4436.2232524654719</v>
      </c>
      <c r="I109" s="78">
        <f t="shared" si="18"/>
        <v>1.4787410841551574</v>
      </c>
      <c r="J109" s="103">
        <f t="shared" si="20"/>
        <v>73.937054207757868</v>
      </c>
      <c r="O109" s="69">
        <v>0.8</v>
      </c>
    </row>
    <row r="110" spans="1:15">
      <c r="A110" s="68">
        <v>96</v>
      </c>
      <c r="B110" s="69">
        <v>0</v>
      </c>
      <c r="C110" s="74">
        <f t="shared" si="12"/>
        <v>0</v>
      </c>
      <c r="D110" s="75">
        <f t="shared" ref="D110:D113" si="21">$D$7-C110*$I$4</f>
        <v>24</v>
      </c>
      <c r="E110" s="69">
        <f t="shared" ref="E110:E113" si="22">$D$1*(D110/$I$3)</f>
        <v>4800</v>
      </c>
      <c r="F110" s="70">
        <f t="shared" si="19"/>
        <v>1.6</v>
      </c>
      <c r="G110" s="76">
        <f t="shared" si="16"/>
        <v>468.9023886667166</v>
      </c>
      <c r="H110" s="77">
        <f t="shared" si="17"/>
        <v>4477.1074665822725</v>
      </c>
      <c r="I110" s="78">
        <f t="shared" si="18"/>
        <v>1.4923691555274241</v>
      </c>
      <c r="J110" s="103">
        <f t="shared" si="20"/>
        <v>74.618457776371216</v>
      </c>
      <c r="O110" s="69">
        <v>0.8</v>
      </c>
    </row>
    <row r="111" spans="1:15">
      <c r="A111" s="68">
        <v>97</v>
      </c>
      <c r="B111" s="69">
        <v>0</v>
      </c>
      <c r="C111" s="74">
        <f t="shared" si="12"/>
        <v>0</v>
      </c>
      <c r="D111" s="75">
        <f t="shared" si="21"/>
        <v>24</v>
      </c>
      <c r="E111" s="69">
        <f t="shared" si="22"/>
        <v>4800</v>
      </c>
      <c r="F111" s="70">
        <f t="shared" si="19"/>
        <v>1.6</v>
      </c>
      <c r="G111" s="76">
        <f t="shared" si="16"/>
        <v>472.70308915689139</v>
      </c>
      <c r="H111" s="77">
        <f t="shared" si="17"/>
        <v>4513.3967774369012</v>
      </c>
      <c r="I111" s="78">
        <f t="shared" si="18"/>
        <v>1.5044655924789672</v>
      </c>
      <c r="J111" s="103">
        <f t="shared" si="20"/>
        <v>75.223279623948358</v>
      </c>
      <c r="O111" s="69">
        <v>0.8</v>
      </c>
    </row>
    <row r="112" spans="1:15">
      <c r="A112" s="68">
        <v>98</v>
      </c>
      <c r="B112" s="69">
        <v>0</v>
      </c>
      <c r="C112" s="74">
        <f t="shared" si="12"/>
        <v>0</v>
      </c>
      <c r="D112" s="75">
        <f t="shared" si="21"/>
        <v>24</v>
      </c>
      <c r="E112" s="69">
        <f t="shared" si="22"/>
        <v>4800</v>
      </c>
      <c r="F112" s="70">
        <f t="shared" si="19"/>
        <v>1.6</v>
      </c>
      <c r="G112" s="76">
        <f t="shared" si="16"/>
        <v>476.07663575752468</v>
      </c>
      <c r="H112" s="77">
        <f t="shared" si="17"/>
        <v>4545.6075979394464</v>
      </c>
      <c r="I112" s="78">
        <f t="shared" si="18"/>
        <v>1.5152025326464822</v>
      </c>
      <c r="J112" s="103">
        <f t="shared" si="20"/>
        <v>75.760126632324102</v>
      </c>
      <c r="O112" s="69">
        <v>0.8</v>
      </c>
    </row>
    <row r="113" spans="1:15" ht="16" thickBot="1">
      <c r="A113" s="79">
        <v>99</v>
      </c>
      <c r="B113" s="69">
        <v>0</v>
      </c>
      <c r="C113" s="81">
        <f t="shared" si="12"/>
        <v>0</v>
      </c>
      <c r="D113" s="82">
        <f t="shared" si="21"/>
        <v>24</v>
      </c>
      <c r="E113" s="80">
        <f t="shared" si="22"/>
        <v>4800</v>
      </c>
      <c r="F113" s="83">
        <f t="shared" si="19"/>
        <v>1.6</v>
      </c>
      <c r="G113" s="84">
        <f t="shared" si="16"/>
        <v>479.07103552568981</v>
      </c>
      <c r="H113" s="85">
        <f t="shared" si="17"/>
        <v>4574.1983022822069</v>
      </c>
      <c r="I113" s="86">
        <f t="shared" si="18"/>
        <v>1.5247327674274023</v>
      </c>
      <c r="J113" s="103">
        <f t="shared" si="20"/>
        <v>76.23663837137012</v>
      </c>
      <c r="O113" s="80">
        <v>0.8</v>
      </c>
    </row>
  </sheetData>
  <mergeCells count="2">
    <mergeCell ref="A11:F11"/>
    <mergeCell ref="G11:L1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opLeftCell="A3" workbookViewId="0">
      <selection activeCell="B6" sqref="B6"/>
    </sheetView>
  </sheetViews>
  <sheetFormatPr baseColWidth="10" defaultRowHeight="15" x14ac:dyDescent="0"/>
  <cols>
    <col min="1" max="1" width="8.33203125" customWidth="1"/>
    <col min="2" max="2" width="9.33203125" customWidth="1"/>
    <col min="4" max="4" width="12.83203125" customWidth="1"/>
    <col min="11" max="11" width="12" customWidth="1"/>
  </cols>
  <sheetData>
    <row r="1" spans="1:19">
      <c r="A1" t="s">
        <v>365</v>
      </c>
      <c r="K1" t="s">
        <v>376</v>
      </c>
    </row>
    <row r="2" spans="1:19">
      <c r="A2" t="s">
        <v>364</v>
      </c>
      <c r="K2" t="s">
        <v>373</v>
      </c>
    </row>
    <row r="3" spans="1:19" ht="16" thickBot="1"/>
    <row r="4" spans="1:19">
      <c r="A4" t="s">
        <v>366</v>
      </c>
      <c r="B4" s="145">
        <v>1</v>
      </c>
      <c r="C4" t="s">
        <v>368</v>
      </c>
      <c r="K4" t="s">
        <v>371</v>
      </c>
      <c r="L4">
        <f>B7*B6/B4</f>
        <v>0.06</v>
      </c>
      <c r="O4" s="2" t="s">
        <v>98</v>
      </c>
      <c r="P4" s="66">
        <f>-B6/B4</f>
        <v>-0.6</v>
      </c>
      <c r="Q4" s="3"/>
      <c r="R4" s="3" t="s">
        <v>102</v>
      </c>
      <c r="S4" s="67">
        <f>1/B4</f>
        <v>1</v>
      </c>
    </row>
    <row r="5" spans="1:19">
      <c r="A5" t="s">
        <v>367</v>
      </c>
      <c r="B5" s="145">
        <v>0.8</v>
      </c>
      <c r="C5" t="s">
        <v>368</v>
      </c>
      <c r="K5" t="s">
        <v>372</v>
      </c>
      <c r="L5">
        <f>B7*B6/B5</f>
        <v>7.4999999999999997E-2</v>
      </c>
      <c r="O5" s="5" t="s">
        <v>99</v>
      </c>
      <c r="P5" s="69">
        <f>B6/B4</f>
        <v>0.6</v>
      </c>
      <c r="Q5" s="6"/>
      <c r="R5" s="6" t="s">
        <v>377</v>
      </c>
      <c r="S5" s="70">
        <v>0</v>
      </c>
    </row>
    <row r="6" spans="1:19">
      <c r="A6" t="s">
        <v>92</v>
      </c>
      <c r="B6" s="145">
        <v>0.6</v>
      </c>
      <c r="C6" t="s">
        <v>268</v>
      </c>
      <c r="O6" s="5" t="s">
        <v>100</v>
      </c>
      <c r="P6" s="69">
        <f>B6/B5</f>
        <v>0.74999999999999989</v>
      </c>
      <c r="Q6" s="6"/>
      <c r="R6" s="6"/>
      <c r="S6" s="7"/>
    </row>
    <row r="7" spans="1:19">
      <c r="A7" t="s">
        <v>210</v>
      </c>
      <c r="B7" s="145">
        <v>0.1</v>
      </c>
      <c r="C7" t="s">
        <v>34</v>
      </c>
      <c r="K7" t="s">
        <v>374</v>
      </c>
      <c r="M7">
        <f>1/(1+L4-L4*L5/(1+L5))</f>
        <v>0.9471365638766519</v>
      </c>
      <c r="O7" s="5" t="s">
        <v>101</v>
      </c>
      <c r="P7" s="69">
        <f>-B6/B5</f>
        <v>-0.74999999999999989</v>
      </c>
      <c r="Q7" s="6"/>
      <c r="R7" s="6" t="s">
        <v>378</v>
      </c>
      <c r="S7" s="70">
        <v>0</v>
      </c>
    </row>
    <row r="8" spans="1:19" ht="16" thickBot="1">
      <c r="A8" t="s">
        <v>260</v>
      </c>
      <c r="B8" s="145">
        <v>1</v>
      </c>
      <c r="C8" t="s">
        <v>185</v>
      </c>
      <c r="K8" t="s">
        <v>375</v>
      </c>
      <c r="M8">
        <f>1/(1+L5)</f>
        <v>0.93023255813953487</v>
      </c>
      <c r="O8" s="8"/>
      <c r="P8" s="9"/>
      <c r="Q8" s="9"/>
      <c r="R8" s="9" t="s">
        <v>379</v>
      </c>
      <c r="S8" s="83">
        <v>1</v>
      </c>
    </row>
    <row r="9" spans="1:19" ht="16" thickBot="1">
      <c r="A9" t="s">
        <v>369</v>
      </c>
      <c r="B9" s="145">
        <v>1</v>
      </c>
      <c r="C9" t="s">
        <v>259</v>
      </c>
    </row>
    <row r="10" spans="1:19">
      <c r="A10" t="s">
        <v>370</v>
      </c>
      <c r="B10" s="145">
        <v>0.25</v>
      </c>
      <c r="C10" t="s">
        <v>259</v>
      </c>
      <c r="G10" s="2" t="s">
        <v>291</v>
      </c>
      <c r="H10" s="3" t="s">
        <v>138</v>
      </c>
      <c r="I10" s="199">
        <v>0</v>
      </c>
      <c r="K10">
        <v>1.65</v>
      </c>
    </row>
    <row r="11" spans="1:19" ht="16" thickBot="1">
      <c r="G11" s="8"/>
      <c r="H11" s="9" t="s">
        <v>139</v>
      </c>
      <c r="I11" s="200">
        <v>1</v>
      </c>
      <c r="K11">
        <v>1.0166999999999999</v>
      </c>
    </row>
    <row r="12" spans="1:19">
      <c r="A12" s="64" t="s">
        <v>17</v>
      </c>
      <c r="B12" s="64" t="s">
        <v>385</v>
      </c>
      <c r="C12" s="64" t="s">
        <v>384</v>
      </c>
      <c r="D12" s="64" t="s">
        <v>382</v>
      </c>
      <c r="E12" s="64" t="s">
        <v>383</v>
      </c>
      <c r="F12" s="64" t="s">
        <v>380</v>
      </c>
      <c r="G12" s="64" t="s">
        <v>381</v>
      </c>
    </row>
    <row r="13" spans="1:19">
      <c r="A13" s="148">
        <v>-1</v>
      </c>
      <c r="B13" s="148">
        <v>0</v>
      </c>
      <c r="C13" s="148"/>
      <c r="D13" s="148">
        <v>0.8</v>
      </c>
      <c r="E13" s="148">
        <v>0</v>
      </c>
      <c r="F13" s="148">
        <v>0</v>
      </c>
      <c r="G13" s="148">
        <v>0</v>
      </c>
    </row>
    <row r="14" spans="1:19">
      <c r="A14" s="64">
        <v>0</v>
      </c>
      <c r="B14" s="103">
        <f>$B$9-F13-G13</f>
        <v>1</v>
      </c>
      <c r="C14" s="103">
        <v>0</v>
      </c>
      <c r="D14" s="103">
        <f>$M$7*((-$L$4*$L$5/($B$6*(1+$L$5)))*C14+($L$4/(1+$L$5))*E13+($L$4/$B$6)*B14+D13)</f>
        <v>0.85242290748898675</v>
      </c>
      <c r="E14" s="118">
        <f>$M$8*($L$5*D14-($L$5/$B$6)*C14+E13)</f>
        <v>5.947136563876651E-2</v>
      </c>
      <c r="F14" s="118">
        <f>$I$10*D14</f>
        <v>0</v>
      </c>
      <c r="G14" s="118">
        <f>$I$11*E14</f>
        <v>5.947136563876651E-2</v>
      </c>
    </row>
    <row r="15" spans="1:19">
      <c r="A15" s="64">
        <v>1</v>
      </c>
      <c r="B15" s="103">
        <f t="shared" ref="B15:B78" si="0">$B$9-F14-G14</f>
        <v>0.94052863436123346</v>
      </c>
      <c r="C15" s="103">
        <v>0</v>
      </c>
      <c r="D15" s="103">
        <f t="shared" ref="D15:D78" si="1">$M$7*((-$L$4*$L$5/($B$6*(1+$L$5)))*C15+($L$4/(1+$L$5))*E14+($L$4/$B$6)*B15+D14)</f>
        <v>0.89958567020512714</v>
      </c>
      <c r="E15" s="118">
        <f t="shared" ref="E15:E78" si="2">$M$8*($L$5*D15-($L$5/$B$6)*C15+E14)</f>
        <v>0.11808399153874516</v>
      </c>
      <c r="F15" s="118">
        <f t="shared" ref="F15:F78" si="3">$I$10*D15</f>
        <v>0</v>
      </c>
      <c r="G15" s="118">
        <f t="shared" ref="G15:G78" si="4">$I$11*E15</f>
        <v>0.11808399153874516</v>
      </c>
    </row>
    <row r="16" spans="1:19">
      <c r="A16" s="64">
        <v>2</v>
      </c>
      <c r="B16" s="103">
        <f t="shared" si="0"/>
        <v>0.88191600846125484</v>
      </c>
      <c r="C16" s="103">
        <v>0</v>
      </c>
      <c r="D16" s="103">
        <f t="shared" si="1"/>
        <v>0.94180229592283815</v>
      </c>
      <c r="E16" s="118">
        <f t="shared" si="2"/>
        <v>0.17555271044926327</v>
      </c>
      <c r="F16" s="118">
        <f t="shared" si="3"/>
        <v>0</v>
      </c>
      <c r="G16" s="118">
        <f t="shared" si="4"/>
        <v>0.17555271044926327</v>
      </c>
    </row>
    <row r="17" spans="1:7">
      <c r="A17" s="64">
        <v>3</v>
      </c>
      <c r="B17" s="103">
        <f t="shared" si="0"/>
        <v>0.82444728955073676</v>
      </c>
      <c r="C17" s="103">
        <v>0</v>
      </c>
      <c r="D17" s="103">
        <f t="shared" si="1"/>
        <v>0.97938212719886419</v>
      </c>
      <c r="E17" s="118">
        <f t="shared" si="2"/>
        <v>0.23163383254807263</v>
      </c>
      <c r="F17" s="118">
        <f t="shared" si="3"/>
        <v>0</v>
      </c>
      <c r="G17" s="118">
        <f t="shared" si="4"/>
        <v>0.23163383254807263</v>
      </c>
    </row>
    <row r="18" spans="1:7">
      <c r="A18" s="64">
        <v>4</v>
      </c>
      <c r="B18" s="103">
        <f t="shared" si="0"/>
        <v>0.76836616745192732</v>
      </c>
      <c r="C18" s="103">
        <v>0</v>
      </c>
      <c r="D18" s="103">
        <f t="shared" si="1"/>
        <v>1.0126283521521986</v>
      </c>
      <c r="E18" s="118">
        <f t="shared" si="2"/>
        <v>0.28612182228789534</v>
      </c>
      <c r="F18" s="118">
        <f t="shared" si="3"/>
        <v>0</v>
      </c>
      <c r="G18" s="118">
        <f t="shared" si="4"/>
        <v>0.28612182228789534</v>
      </c>
    </row>
    <row r="19" spans="1:7">
      <c r="A19" s="64">
        <v>5</v>
      </c>
      <c r="B19" s="103">
        <f t="shared" si="0"/>
        <v>0.7138781777121046</v>
      </c>
      <c r="C19" s="103">
        <v>0</v>
      </c>
      <c r="D19" s="103">
        <f t="shared" si="1"/>
        <v>1.0418367330439986</v>
      </c>
      <c r="E19" s="118">
        <f t="shared" si="2"/>
        <v>0.33884611838715833</v>
      </c>
      <c r="F19" s="118">
        <f t="shared" si="3"/>
        <v>0</v>
      </c>
      <c r="G19" s="118">
        <f t="shared" si="4"/>
        <v>0.33884611838715833</v>
      </c>
    </row>
    <row r="20" spans="1:7">
      <c r="A20" s="64">
        <v>6</v>
      </c>
      <c r="B20" s="103">
        <f t="shared" si="0"/>
        <v>0.66115388161284172</v>
      </c>
      <c r="C20" s="103">
        <v>0</v>
      </c>
      <c r="D20" s="103">
        <f t="shared" si="1"/>
        <v>1.0672945351532233</v>
      </c>
      <c r="E20" s="118">
        <f t="shared" si="2"/>
        <v>0.38966810095223264</v>
      </c>
      <c r="F20" s="118">
        <f t="shared" si="3"/>
        <v>0</v>
      </c>
      <c r="G20" s="118">
        <f t="shared" si="4"/>
        <v>0.38966810095223264</v>
      </c>
    </row>
    <row r="21" spans="1:7">
      <c r="A21" s="64">
        <v>7</v>
      </c>
      <c r="B21" s="103">
        <f t="shared" si="0"/>
        <v>0.6103318990477673</v>
      </c>
      <c r="C21" s="103">
        <v>0</v>
      </c>
      <c r="D21" s="103">
        <f t="shared" si="1"/>
        <v>1.0892796392021884</v>
      </c>
      <c r="E21" s="118">
        <f t="shared" si="2"/>
        <v>0.43847820827199696</v>
      </c>
      <c r="F21" s="118">
        <f t="shared" si="3"/>
        <v>0</v>
      </c>
      <c r="G21" s="118">
        <f t="shared" si="4"/>
        <v>0.43847820827199696</v>
      </c>
    </row>
    <row r="22" spans="1:7">
      <c r="A22" s="64">
        <v>8</v>
      </c>
      <c r="B22" s="103">
        <f t="shared" si="0"/>
        <v>0.56152179172800309</v>
      </c>
      <c r="C22" s="103">
        <v>0</v>
      </c>
      <c r="D22" s="103">
        <f t="shared" si="1"/>
        <v>1.1080598213651387</v>
      </c>
      <c r="E22" s="118">
        <f t="shared" si="2"/>
        <v>0.48519320453430914</v>
      </c>
      <c r="F22" s="118">
        <f t="shared" si="3"/>
        <v>0</v>
      </c>
      <c r="G22" s="118">
        <f t="shared" si="4"/>
        <v>0.48519320453430914</v>
      </c>
    </row>
    <row r="23" spans="1:7">
      <c r="A23" s="64">
        <v>9</v>
      </c>
      <c r="B23" s="103">
        <f t="shared" si="0"/>
        <v>0.51480679546569086</v>
      </c>
      <c r="C23" s="103">
        <v>0</v>
      </c>
      <c r="D23" s="103">
        <f t="shared" si="1"/>
        <v>1.1238921856847086</v>
      </c>
      <c r="E23" s="118">
        <f t="shared" si="2"/>
        <v>0.52975359856805793</v>
      </c>
      <c r="F23" s="118">
        <f t="shared" si="3"/>
        <v>0</v>
      </c>
      <c r="G23" s="118">
        <f t="shared" si="4"/>
        <v>0.52975359856805793</v>
      </c>
    </row>
    <row r="24" spans="1:7">
      <c r="A24" s="64">
        <v>10</v>
      </c>
      <c r="B24" s="103">
        <f t="shared" si="0"/>
        <v>0.47024640143194207</v>
      </c>
      <c r="C24" s="103">
        <v>0</v>
      </c>
      <c r="D24" s="103">
        <f t="shared" si="1"/>
        <v>1.1370227345190123</v>
      </c>
      <c r="E24" s="118">
        <f t="shared" si="2"/>
        <v>0.57212121270417104</v>
      </c>
      <c r="F24" s="118">
        <f t="shared" si="3"/>
        <v>0</v>
      </c>
      <c r="G24" s="118">
        <f t="shared" si="4"/>
        <v>0.57212121270417104</v>
      </c>
    </row>
    <row r="25" spans="1:7">
      <c r="A25" s="64">
        <v>11</v>
      </c>
      <c r="B25" s="103">
        <f t="shared" si="0"/>
        <v>0.42787878729582896</v>
      </c>
      <c r="C25" s="103">
        <v>0</v>
      </c>
      <c r="D25" s="103">
        <f t="shared" si="1"/>
        <v>1.1476860634400792</v>
      </c>
      <c r="E25" s="118">
        <f t="shared" si="2"/>
        <v>0.61227689996481582</v>
      </c>
      <c r="F25" s="118">
        <f t="shared" si="3"/>
        <v>0</v>
      </c>
      <c r="G25" s="118">
        <f t="shared" si="4"/>
        <v>0.61227689996481582</v>
      </c>
    </row>
    <row r="26" spans="1:7">
      <c r="A26" s="64">
        <v>12</v>
      </c>
      <c r="B26" s="103">
        <f t="shared" si="0"/>
        <v>0.38772310003518418</v>
      </c>
      <c r="C26" s="103">
        <v>0</v>
      </c>
      <c r="D26" s="103">
        <f t="shared" si="1"/>
        <v>1.1561051677971421</v>
      </c>
      <c r="E26" s="118">
        <f t="shared" si="2"/>
        <v>0.65021840702288514</v>
      </c>
      <c r="F26" s="118">
        <f t="shared" si="3"/>
        <v>0</v>
      </c>
      <c r="G26" s="118">
        <f t="shared" si="4"/>
        <v>0.65021840702288514</v>
      </c>
    </row>
    <row r="27" spans="1:7">
      <c r="A27" s="64">
        <v>13</v>
      </c>
      <c r="B27" s="103">
        <f t="shared" si="0"/>
        <v>0.34978159297711486</v>
      </c>
      <c r="C27" s="103">
        <v>0</v>
      </c>
      <c r="D27" s="103">
        <f t="shared" si="1"/>
        <v>1.1624913489412694</v>
      </c>
      <c r="E27" s="118">
        <f t="shared" si="2"/>
        <v>0.6859583797148654</v>
      </c>
      <c r="F27" s="118">
        <f t="shared" si="3"/>
        <v>0</v>
      </c>
      <c r="G27" s="118">
        <f t="shared" si="4"/>
        <v>0.6859583797148654</v>
      </c>
    </row>
    <row r="28" spans="1:7">
      <c r="A28" s="64">
        <v>14</v>
      </c>
      <c r="B28" s="103">
        <f t="shared" si="0"/>
        <v>0.3140416202851346</v>
      </c>
      <c r="C28" s="103">
        <v>0</v>
      </c>
      <c r="D28" s="103">
        <f t="shared" si="1"/>
        <v>1.1670442088770117</v>
      </c>
      <c r="E28" s="118">
        <f t="shared" si="2"/>
        <v>0.71952250733082912</v>
      </c>
      <c r="F28" s="118">
        <f t="shared" si="3"/>
        <v>0</v>
      </c>
      <c r="G28" s="118">
        <f t="shared" si="4"/>
        <v>0.71952250733082912</v>
      </c>
    </row>
    <row r="29" spans="1:7">
      <c r="A29" s="64">
        <v>15</v>
      </c>
      <c r="B29" s="103">
        <f t="shared" si="0"/>
        <v>0.28047749266917088</v>
      </c>
      <c r="C29" s="103">
        <v>0</v>
      </c>
      <c r="D29" s="103">
        <f t="shared" si="1"/>
        <v>1.1699517228586547</v>
      </c>
      <c r="E29" s="118">
        <f t="shared" si="2"/>
        <v>0.75094780143742157</v>
      </c>
      <c r="F29" s="118">
        <f t="shared" si="3"/>
        <v>0</v>
      </c>
      <c r="G29" s="118">
        <f t="shared" si="4"/>
        <v>0.75094780143742157</v>
      </c>
    </row>
    <row r="30" spans="1:7">
      <c r="A30" s="64">
        <v>16</v>
      </c>
      <c r="B30" s="103">
        <f t="shared" si="0"/>
        <v>0.24905219856257843</v>
      </c>
      <c r="C30" s="103">
        <v>0</v>
      </c>
      <c r="D30" s="103">
        <f t="shared" si="1"/>
        <v>1.1713903801804195</v>
      </c>
      <c r="E30" s="118">
        <f t="shared" si="2"/>
        <v>0.78028100460553773</v>
      </c>
      <c r="F30" s="118">
        <f t="shared" si="3"/>
        <v>0</v>
      </c>
      <c r="G30" s="118">
        <f t="shared" si="4"/>
        <v>0.78028100460553773</v>
      </c>
    </row>
    <row r="31" spans="1:7">
      <c r="A31" s="64">
        <v>17</v>
      </c>
      <c r="B31" s="103">
        <f t="shared" si="0"/>
        <v>0.21971899539446227</v>
      </c>
      <c r="C31" s="103">
        <v>0</v>
      </c>
      <c r="D31" s="103">
        <f t="shared" si="1"/>
        <v>1.1715253841191082</v>
      </c>
      <c r="E31" s="118">
        <f t="shared" si="2"/>
        <v>0.80757712410648452</v>
      </c>
      <c r="F31" s="118">
        <f t="shared" si="3"/>
        <v>0</v>
      </c>
      <c r="G31" s="118">
        <f t="shared" si="4"/>
        <v>0.80757712410648452</v>
      </c>
    </row>
    <row r="32" spans="1:7">
      <c r="A32" s="64">
        <v>18</v>
      </c>
      <c r="B32" s="103">
        <f t="shared" si="0"/>
        <v>0.19242287589351548</v>
      </c>
      <c r="C32" s="103">
        <v>0</v>
      </c>
      <c r="D32" s="103">
        <f t="shared" si="1"/>
        <v>1.170510902672232</v>
      </c>
      <c r="E32" s="118">
        <f t="shared" si="2"/>
        <v>0.83289808540176924</v>
      </c>
      <c r="F32" s="118">
        <f t="shared" si="3"/>
        <v>0</v>
      </c>
      <c r="G32" s="118">
        <f t="shared" si="4"/>
        <v>0.83289808540176924</v>
      </c>
    </row>
    <row r="33" spans="1:7">
      <c r="A33" s="64">
        <v>19</v>
      </c>
      <c r="B33" s="103">
        <f t="shared" si="0"/>
        <v>0.16710191459823076</v>
      </c>
      <c r="C33" s="103">
        <v>0</v>
      </c>
      <c r="D33" s="103">
        <f t="shared" si="1"/>
        <v>1.1684903623930092</v>
      </c>
      <c r="E33" s="118">
        <f t="shared" si="2"/>
        <v>0.85631150007557666</v>
      </c>
      <c r="F33" s="118">
        <f t="shared" si="3"/>
        <v>0</v>
      </c>
      <c r="G33" s="118">
        <f t="shared" si="4"/>
        <v>0.85631150007557666</v>
      </c>
    </row>
    <row r="34" spans="1:7">
      <c r="A34" s="64">
        <v>20</v>
      </c>
      <c r="B34" s="103">
        <f t="shared" si="0"/>
        <v>0.14368849992442334</v>
      </c>
      <c r="C34" s="103">
        <v>0</v>
      </c>
      <c r="D34" s="103">
        <f t="shared" si="1"/>
        <v>1.1655967782545329</v>
      </c>
      <c r="E34" s="118">
        <f t="shared" si="2"/>
        <v>0.87788954273922482</v>
      </c>
      <c r="F34" s="118">
        <f t="shared" si="3"/>
        <v>0</v>
      </c>
      <c r="G34" s="118">
        <f t="shared" si="4"/>
        <v>0.87788954273922482</v>
      </c>
    </row>
    <row r="35" spans="1:7">
      <c r="A35" s="64">
        <v>21</v>
      </c>
      <c r="B35" s="103">
        <f t="shared" si="0"/>
        <v>0.12211045726077518</v>
      </c>
      <c r="C35" s="103">
        <v>0</v>
      </c>
      <c r="D35" s="103">
        <f t="shared" si="1"/>
        <v>1.1619531130779819</v>
      </c>
      <c r="E35" s="118">
        <f t="shared" si="2"/>
        <v>0.89770793136751015</v>
      </c>
      <c r="F35" s="118">
        <f t="shared" si="3"/>
        <v>0</v>
      </c>
      <c r="G35" s="118">
        <f t="shared" si="4"/>
        <v>0.89770793136751015</v>
      </c>
    </row>
    <row r="36" spans="1:7">
      <c r="A36" s="64">
        <v>22</v>
      </c>
      <c r="B36" s="103">
        <f t="shared" si="0"/>
        <v>0.10229206863248985</v>
      </c>
      <c r="C36" s="103">
        <v>0</v>
      </c>
      <c r="D36" s="103">
        <f t="shared" si="1"/>
        <v>1.1576726606333689</v>
      </c>
      <c r="E36" s="118">
        <f t="shared" si="2"/>
        <v>0.91584500550233749</v>
      </c>
      <c r="F36" s="118">
        <f t="shared" si="3"/>
        <v>0</v>
      </c>
      <c r="G36" s="118">
        <f t="shared" si="4"/>
        <v>0.91584500550233749</v>
      </c>
    </row>
    <row r="37" spans="1:7">
      <c r="A37" s="64">
        <v>23</v>
      </c>
      <c r="B37" s="103">
        <f t="shared" si="0"/>
        <v>8.4154994497662505E-2</v>
      </c>
      <c r="C37" s="103">
        <v>0</v>
      </c>
      <c r="D37" s="103">
        <f t="shared" si="1"/>
        <v>1.1528594470656479</v>
      </c>
      <c r="E37" s="118">
        <f t="shared" si="2"/>
        <v>0.93238089677419644</v>
      </c>
      <c r="F37" s="118">
        <f t="shared" si="3"/>
        <v>0</v>
      </c>
      <c r="G37" s="118">
        <f t="shared" si="4"/>
        <v>0.93238089677419644</v>
      </c>
    </row>
    <row r="38" spans="1:7">
      <c r="A38" s="64">
        <v>24</v>
      </c>
      <c r="B38" s="103">
        <f t="shared" si="0"/>
        <v>6.7619103225803556E-2</v>
      </c>
      <c r="C38" s="103">
        <v>0</v>
      </c>
      <c r="D38" s="103">
        <f t="shared" si="1"/>
        <v>1.1476086458139181</v>
      </c>
      <c r="E38" s="118">
        <f t="shared" si="2"/>
        <v>0.94739678624208401</v>
      </c>
      <c r="F38" s="118">
        <f t="shared" si="3"/>
        <v>0</v>
      </c>
      <c r="G38" s="118">
        <f t="shared" si="4"/>
        <v>0.94739678624208401</v>
      </c>
    </row>
    <row r="39" spans="1:7">
      <c r="A39" s="64">
        <v>25</v>
      </c>
      <c r="B39" s="103">
        <f t="shared" si="0"/>
        <v>5.260321375791599E-2</v>
      </c>
      <c r="C39" s="103">
        <v>0</v>
      </c>
      <c r="D39" s="103">
        <f t="shared" si="1"/>
        <v>1.1420070016770596</v>
      </c>
      <c r="E39" s="118">
        <f t="shared" si="2"/>
        <v>0.96097424313289626</v>
      </c>
      <c r="F39" s="118">
        <f t="shared" si="3"/>
        <v>0</v>
      </c>
      <c r="G39" s="118">
        <f t="shared" si="4"/>
        <v>0.96097424313289626</v>
      </c>
    </row>
    <row r="40" spans="1:7">
      <c r="A40" s="64">
        <v>26</v>
      </c>
      <c r="B40" s="103">
        <f t="shared" si="0"/>
        <v>3.9025756867103745E-2</v>
      </c>
      <c r="C40" s="103">
        <v>0</v>
      </c>
      <c r="D40" s="103">
        <f t="shared" si="1"/>
        <v>1.1361332601357061</v>
      </c>
      <c r="E40" s="118">
        <f t="shared" si="2"/>
        <v>0.97319463966797592</v>
      </c>
      <c r="F40" s="118">
        <f t="shared" si="3"/>
        <v>0</v>
      </c>
      <c r="G40" s="118">
        <f t="shared" si="4"/>
        <v>0.97319463966797592</v>
      </c>
    </row>
    <row r="41" spans="1:7">
      <c r="A41" s="64">
        <v>27</v>
      </c>
      <c r="B41" s="103">
        <f t="shared" si="0"/>
        <v>2.6805360332024075E-2</v>
      </c>
      <c r="C41" s="103">
        <v>0</v>
      </c>
      <c r="D41" s="103">
        <f t="shared" si="1"/>
        <v>1.1300585984684186</v>
      </c>
      <c r="E41" s="118">
        <f t="shared" si="2"/>
        <v>0.98413863679358815</v>
      </c>
      <c r="F41" s="118">
        <f t="shared" si="3"/>
        <v>0</v>
      </c>
      <c r="G41" s="118">
        <f t="shared" si="4"/>
        <v>0.98413863679358815</v>
      </c>
    </row>
    <row r="42" spans="1:7">
      <c r="A42" s="64">
        <v>28</v>
      </c>
      <c r="B42" s="103">
        <f t="shared" si="0"/>
        <v>1.5861363206411849E-2</v>
      </c>
      <c r="C42" s="103">
        <v>0</v>
      </c>
      <c r="D42" s="103">
        <f t="shared" si="1"/>
        <v>1.1238470555998719</v>
      </c>
      <c r="E42" s="118">
        <f t="shared" si="2"/>
        <v>0.993885735780073</v>
      </c>
      <c r="F42" s="118">
        <f t="shared" si="3"/>
        <v>0</v>
      </c>
      <c r="G42" s="118">
        <f t="shared" si="4"/>
        <v>0.993885735780073</v>
      </c>
    </row>
    <row r="43" spans="1:7">
      <c r="A43" s="64">
        <v>29</v>
      </c>
      <c r="B43" s="103">
        <f t="shared" si="0"/>
        <v>6.1142642199270014E-3</v>
      </c>
      <c r="C43" s="103">
        <v>0</v>
      </c>
      <c r="D43" s="103">
        <f t="shared" si="1"/>
        <v>1.1175559579914613</v>
      </c>
      <c r="E43" s="118">
        <f t="shared" si="2"/>
        <v>1.0025138908180768</v>
      </c>
      <c r="F43" s="118">
        <f t="shared" si="3"/>
        <v>0</v>
      </c>
      <c r="G43" s="118">
        <f t="shared" si="4"/>
        <v>1.0025138908180768</v>
      </c>
    </row>
    <row r="44" spans="1:7">
      <c r="A44" s="64">
        <v>30</v>
      </c>
      <c r="B44" s="103">
        <f t="shared" si="0"/>
        <v>-2.5138908180768471E-3</v>
      </c>
      <c r="C44" s="103">
        <v>0</v>
      </c>
      <c r="D44" s="103">
        <f t="shared" si="1"/>
        <v>1.1112363392308038</v>
      </c>
      <c r="E44" s="118">
        <f t="shared" si="2"/>
        <v>1.0100991779166391</v>
      </c>
      <c r="F44" s="118">
        <f t="shared" si="3"/>
        <v>0</v>
      </c>
      <c r="G44" s="118">
        <f t="shared" si="4"/>
        <v>1.0100991779166391</v>
      </c>
    </row>
    <row r="45" spans="1:7">
      <c r="A45" s="64">
        <v>31</v>
      </c>
      <c r="B45" s="103">
        <f t="shared" si="0"/>
        <v>-1.0099177916639057E-2</v>
      </c>
      <c r="C45" s="103">
        <v>0</v>
      </c>
      <c r="D45" s="103">
        <f t="shared" si="1"/>
        <v>1.104933351296981</v>
      </c>
      <c r="E45" s="118">
        <f t="shared" si="2"/>
        <v>1.0167155155943373</v>
      </c>
      <c r="F45" s="118">
        <f t="shared" si="3"/>
        <v>0</v>
      </c>
      <c r="G45" s="118">
        <f t="shared" si="4"/>
        <v>1.0167155155943373</v>
      </c>
    </row>
    <row r="46" spans="1:7">
      <c r="A46" s="64">
        <v>32</v>
      </c>
      <c r="B46" s="103">
        <f t="shared" si="0"/>
        <v>-1.671551559433726E-2</v>
      </c>
      <c r="C46" s="103">
        <v>0</v>
      </c>
      <c r="D46" s="103">
        <f t="shared" si="1"/>
        <v>1.0986866657740295</v>
      </c>
      <c r="E46" s="118">
        <f t="shared" si="2"/>
        <v>1.0224344330487345</v>
      </c>
      <c r="F46" s="118">
        <f t="shared" si="3"/>
        <v>0</v>
      </c>
      <c r="G46" s="118">
        <f t="shared" si="4"/>
        <v>1.0224344330487345</v>
      </c>
    </row>
    <row r="47" spans="1:7">
      <c r="A47" s="64">
        <v>33</v>
      </c>
      <c r="B47" s="103">
        <f t="shared" si="0"/>
        <v>-2.2434433048734492E-2</v>
      </c>
      <c r="C47" s="103">
        <v>0</v>
      </c>
      <c r="D47" s="103">
        <f t="shared" si="1"/>
        <v>1.0925308635570632</v>
      </c>
      <c r="E47" s="118">
        <f t="shared" si="2"/>
        <v>1.0273248816888505</v>
      </c>
      <c r="F47" s="118">
        <f t="shared" si="3"/>
        <v>0</v>
      </c>
      <c r="G47" s="118">
        <f t="shared" si="4"/>
        <v>1.0273248816888505</v>
      </c>
    </row>
    <row r="48" spans="1:7">
      <c r="A48" s="64">
        <v>34</v>
      </c>
      <c r="B48" s="103">
        <f t="shared" si="0"/>
        <v>-2.73248816888505E-2</v>
      </c>
      <c r="C48" s="103">
        <v>0</v>
      </c>
      <c r="D48" s="103">
        <f t="shared" si="1"/>
        <v>1.0864958118446013</v>
      </c>
      <c r="E48" s="118">
        <f t="shared" si="2"/>
        <v>1.0314530861183213</v>
      </c>
      <c r="F48" s="118">
        <f t="shared" si="3"/>
        <v>0</v>
      </c>
      <c r="G48" s="118">
        <f t="shared" si="4"/>
        <v>1.0314530861183213</v>
      </c>
    </row>
    <row r="49" spans="1:7">
      <c r="A49" s="64">
        <v>35</v>
      </c>
      <c r="B49" s="103">
        <f t="shared" si="0"/>
        <v>-3.1453086118321316E-2</v>
      </c>
      <c r="C49" s="103">
        <v>0</v>
      </c>
      <c r="D49" s="103">
        <f t="shared" si="1"/>
        <v>1.0806070274381727</v>
      </c>
      <c r="E49" s="118">
        <f t="shared" si="2"/>
        <v>1.0348824308615667</v>
      </c>
      <c r="F49" s="118">
        <f t="shared" si="3"/>
        <v>0</v>
      </c>
      <c r="G49" s="118">
        <f t="shared" si="4"/>
        <v>1.0348824308615667</v>
      </c>
    </row>
    <row r="50" spans="1:7">
      <c r="A50" s="64">
        <v>36</v>
      </c>
      <c r="B50" s="103">
        <f t="shared" si="0"/>
        <v>-3.4882430861566727E-2</v>
      </c>
      <c r="C50" s="103">
        <v>0</v>
      </c>
      <c r="D50" s="103">
        <f t="shared" si="1"/>
        <v>1.0748860255771906</v>
      </c>
      <c r="E50" s="118">
        <f t="shared" si="2"/>
        <v>1.0376733793300985</v>
      </c>
      <c r="F50" s="118">
        <f t="shared" si="3"/>
        <v>0</v>
      </c>
      <c r="G50" s="118">
        <f t="shared" si="4"/>
        <v>1.0376733793300985</v>
      </c>
    </row>
    <row r="51" spans="1:7">
      <c r="A51" s="64">
        <v>37</v>
      </c>
      <c r="B51" s="103">
        <f t="shared" si="0"/>
        <v>-3.7673379330098511E-2</v>
      </c>
      <c r="C51" s="103">
        <v>0</v>
      </c>
      <c r="D51" s="103">
        <f t="shared" si="1"/>
        <v>1.0693506537244934</v>
      </c>
      <c r="E51" s="118">
        <f t="shared" si="2"/>
        <v>1.0398834217297075</v>
      </c>
      <c r="F51" s="118">
        <f t="shared" si="3"/>
        <v>0</v>
      </c>
      <c r="G51" s="118">
        <f t="shared" si="4"/>
        <v>1.0398834217297075</v>
      </c>
    </row>
    <row r="52" spans="1:7">
      <c r="A52" s="64">
        <v>38</v>
      </c>
      <c r="B52" s="103">
        <f t="shared" si="0"/>
        <v>-3.9883421729707491E-2</v>
      </c>
      <c r="C52" s="103">
        <v>0</v>
      </c>
      <c r="D52" s="103">
        <f t="shared" si="1"/>
        <v>1.0640154098869332</v>
      </c>
      <c r="E52" s="118">
        <f t="shared" si="2"/>
        <v>1.041567048810444</v>
      </c>
      <c r="F52" s="118">
        <f t="shared" si="3"/>
        <v>0</v>
      </c>
      <c r="G52" s="118">
        <f t="shared" si="4"/>
        <v>1.041567048810444</v>
      </c>
    </row>
    <row r="53" spans="1:7">
      <c r="A53" s="64">
        <v>39</v>
      </c>
      <c r="B53" s="103">
        <f t="shared" si="0"/>
        <v>-4.1567048810444041E-2</v>
      </c>
      <c r="C53" s="103">
        <v>0</v>
      </c>
      <c r="D53" s="103">
        <f t="shared" si="1"/>
        <v>1.0588917452070106</v>
      </c>
      <c r="E53" s="118">
        <f t="shared" si="2"/>
        <v>1.0427757485590416</v>
      </c>
      <c r="F53" s="118">
        <f t="shared" si="3"/>
        <v>0</v>
      </c>
      <c r="G53" s="118">
        <f t="shared" si="4"/>
        <v>1.0427757485590416</v>
      </c>
    </row>
    <row r="54" spans="1:7">
      <c r="A54" s="64">
        <v>40</v>
      </c>
      <c r="B54" s="103">
        <f t="shared" si="0"/>
        <v>-4.2775748559041649E-2</v>
      </c>
      <c r="C54" s="103">
        <f>$B$10</f>
        <v>0.25</v>
      </c>
      <c r="D54" s="103">
        <f t="shared" si="1"/>
        <v>1.0523363683180458</v>
      </c>
      <c r="E54" s="118">
        <f t="shared" si="2"/>
        <v>1.0143730011003675</v>
      </c>
      <c r="F54" s="118">
        <f t="shared" si="3"/>
        <v>0</v>
      </c>
      <c r="G54" s="118">
        <f t="shared" si="4"/>
        <v>1.0143730011003675</v>
      </c>
    </row>
    <row r="55" spans="1:7">
      <c r="A55" s="64">
        <v>41</v>
      </c>
      <c r="B55" s="103">
        <f t="shared" si="0"/>
        <v>-1.4373001100367544E-2</v>
      </c>
      <c r="C55" s="103">
        <f t="shared" ref="C55:C98" si="5">$B$10</f>
        <v>0.25</v>
      </c>
      <c r="D55" s="103">
        <f t="shared" si="1"/>
        <v>1.0473161924137724</v>
      </c>
      <c r="E55" s="118">
        <f t="shared" si="2"/>
        <v>0.98760159584316309</v>
      </c>
      <c r="F55" s="118">
        <f t="shared" si="3"/>
        <v>0</v>
      </c>
      <c r="G55" s="118">
        <f t="shared" si="4"/>
        <v>0.98760159584316309</v>
      </c>
    </row>
    <row r="56" spans="1:7">
      <c r="A56" s="64">
        <v>42</v>
      </c>
      <c r="B56" s="103">
        <f t="shared" si="0"/>
        <v>1.2398404156836906E-2</v>
      </c>
      <c r="C56" s="103">
        <f t="shared" si="5"/>
        <v>0.25</v>
      </c>
      <c r="D56" s="103">
        <f t="shared" si="1"/>
        <v>1.0436817894645418</v>
      </c>
      <c r="E56" s="118">
        <f t="shared" si="2"/>
        <v>0.96244440004930587</v>
      </c>
      <c r="F56" s="118">
        <f t="shared" si="3"/>
        <v>0</v>
      </c>
      <c r="G56" s="118">
        <f t="shared" si="4"/>
        <v>0.96244440004930587</v>
      </c>
    </row>
    <row r="57" spans="1:7">
      <c r="A57" s="64">
        <v>43</v>
      </c>
      <c r="B57" s="103">
        <f t="shared" si="0"/>
        <v>3.755559995069413E-2</v>
      </c>
      <c r="C57" s="103">
        <f t="shared" si="5"/>
        <v>0.25</v>
      </c>
      <c r="D57" s="103">
        <f t="shared" si="1"/>
        <v>1.04129234772867</v>
      </c>
      <c r="E57" s="118">
        <f t="shared" si="2"/>
        <v>0.9388756522129823</v>
      </c>
      <c r="F57" s="118">
        <f t="shared" si="3"/>
        <v>0</v>
      </c>
      <c r="G57" s="118">
        <f t="shared" si="4"/>
        <v>0.9388756522129823</v>
      </c>
    </row>
    <row r="58" spans="1:7">
      <c r="A58" s="64">
        <v>44</v>
      </c>
      <c r="B58" s="103">
        <f t="shared" si="0"/>
        <v>6.1124347787017697E-2</v>
      </c>
      <c r="C58" s="103">
        <f t="shared" si="5"/>
        <v>0.25</v>
      </c>
      <c r="D58" s="103">
        <f t="shared" si="1"/>
        <v>1.040015577381677</v>
      </c>
      <c r="E58" s="118">
        <f t="shared" si="2"/>
        <v>0.91686215862010056</v>
      </c>
      <c r="F58" s="118">
        <f t="shared" si="3"/>
        <v>0</v>
      </c>
      <c r="G58" s="118">
        <f t="shared" si="4"/>
        <v>0.91686215862010056</v>
      </c>
    </row>
    <row r="59" spans="1:7">
      <c r="A59" s="64">
        <v>45</v>
      </c>
      <c r="B59" s="103">
        <f t="shared" si="0"/>
        <v>8.3137841379899435E-2</v>
      </c>
      <c r="C59" s="103">
        <f t="shared" si="5"/>
        <v>0.25</v>
      </c>
      <c r="D59" s="103">
        <f t="shared" si="1"/>
        <v>1.0397275710580158</v>
      </c>
      <c r="E59" s="118">
        <f t="shared" si="2"/>
        <v>0.89636439669716439</v>
      </c>
      <c r="F59" s="118">
        <f t="shared" si="3"/>
        <v>0</v>
      </c>
      <c r="G59" s="118">
        <f t="shared" si="4"/>
        <v>0.89636439669716439</v>
      </c>
    </row>
    <row r="60" spans="1:7">
      <c r="A60" s="64">
        <v>46</v>
      </c>
      <c r="B60" s="103">
        <f t="shared" si="0"/>
        <v>0.10363560330283561</v>
      </c>
      <c r="C60" s="103">
        <f t="shared" si="5"/>
        <v>0.25</v>
      </c>
      <c r="D60" s="103">
        <f t="shared" si="1"/>
        <v>1.0403126255896489</v>
      </c>
      <c r="E60" s="118">
        <f t="shared" si="2"/>
        <v>0.87733752894547723</v>
      </c>
      <c r="F60" s="118">
        <f t="shared" si="3"/>
        <v>0</v>
      </c>
      <c r="G60" s="118">
        <f t="shared" si="4"/>
        <v>0.87733752894547723</v>
      </c>
    </row>
    <row r="61" spans="1:7">
      <c r="A61" s="64">
        <v>47</v>
      </c>
      <c r="B61" s="103">
        <f t="shared" si="0"/>
        <v>0.12266247105452277</v>
      </c>
      <c r="C61" s="103">
        <f t="shared" si="5"/>
        <v>0.25</v>
      </c>
      <c r="D61" s="103">
        <f t="shared" si="1"/>
        <v>1.0416630307347685</v>
      </c>
      <c r="E61" s="118">
        <f t="shared" si="2"/>
        <v>0.85973233139589289</v>
      </c>
      <c r="F61" s="118">
        <f t="shared" si="3"/>
        <v>0</v>
      </c>
      <c r="G61" s="118">
        <f t="shared" si="4"/>
        <v>0.85973233139589289</v>
      </c>
    </row>
    <row r="62" spans="1:7">
      <c r="A62" s="64">
        <v>48</v>
      </c>
      <c r="B62" s="103">
        <f t="shared" si="0"/>
        <v>0.14026766860410711</v>
      </c>
      <c r="C62" s="103">
        <f t="shared" si="5"/>
        <v>0.25</v>
      </c>
      <c r="D62" s="103">
        <f t="shared" si="1"/>
        <v>1.0436788302190054</v>
      </c>
      <c r="E62" s="118">
        <f t="shared" si="2"/>
        <v>0.84349604061611005</v>
      </c>
      <c r="F62" s="118">
        <f t="shared" si="3"/>
        <v>0</v>
      </c>
      <c r="G62" s="118">
        <f t="shared" si="4"/>
        <v>0.84349604061611005</v>
      </c>
    </row>
    <row r="63" spans="1:7">
      <c r="A63" s="64">
        <v>49</v>
      </c>
      <c r="B63" s="103">
        <f t="shared" si="0"/>
        <v>0.15650395938388995</v>
      </c>
      <c r="C63" s="103">
        <f t="shared" si="5"/>
        <v>0.25</v>
      </c>
      <c r="D63" s="103">
        <f t="shared" si="1"/>
        <v>1.0462675599613793</v>
      </c>
      <c r="E63" s="118">
        <f t="shared" si="2"/>
        <v>0.82857312336112887</v>
      </c>
      <c r="F63" s="118">
        <f t="shared" si="3"/>
        <v>0</v>
      </c>
      <c r="G63" s="118">
        <f t="shared" si="4"/>
        <v>0.82857312336112887</v>
      </c>
    </row>
    <row r="64" spans="1:7">
      <c r="A64" s="64">
        <v>50</v>
      </c>
      <c r="B64" s="103">
        <f t="shared" si="0"/>
        <v>0.17142687663887113</v>
      </c>
      <c r="C64" s="103">
        <f t="shared" si="5"/>
        <v>0.25</v>
      </c>
      <c r="D64" s="103">
        <f t="shared" si="1"/>
        <v>1.0493439679284837</v>
      </c>
      <c r="E64" s="118">
        <f t="shared" si="2"/>
        <v>0.81490597298210721</v>
      </c>
      <c r="F64" s="118">
        <f t="shared" si="3"/>
        <v>0</v>
      </c>
      <c r="G64" s="118">
        <f t="shared" si="4"/>
        <v>0.81490597298210721</v>
      </c>
    </row>
    <row r="65" spans="1:7">
      <c r="A65" s="64">
        <v>51</v>
      </c>
      <c r="B65" s="103">
        <f t="shared" si="0"/>
        <v>0.18509402701789279</v>
      </c>
      <c r="C65" s="103">
        <f t="shared" si="5"/>
        <v>0.25</v>
      </c>
      <c r="D65" s="103">
        <f t="shared" si="1"/>
        <v>1.0528297196532774</v>
      </c>
      <c r="E65" s="118">
        <f t="shared" si="2"/>
        <v>0.80243553670335166</v>
      </c>
      <c r="F65" s="118">
        <f t="shared" si="3"/>
        <v>0</v>
      </c>
      <c r="G65" s="118">
        <f t="shared" si="4"/>
        <v>0.80243553670335166</v>
      </c>
    </row>
    <row r="66" spans="1:7">
      <c r="A66" s="64">
        <v>52</v>
      </c>
      <c r="B66" s="103">
        <f t="shared" si="0"/>
        <v>0.19756446329664834</v>
      </c>
      <c r="C66" s="103">
        <f t="shared" si="5"/>
        <v>0.25</v>
      </c>
      <c r="D66" s="103">
        <f t="shared" si="1"/>
        <v>1.0566530930694835</v>
      </c>
      <c r="E66" s="118">
        <f t="shared" si="2"/>
        <v>0.79110187784517483</v>
      </c>
      <c r="F66" s="118">
        <f t="shared" si="3"/>
        <v>0</v>
      </c>
      <c r="G66" s="118">
        <f t="shared" si="4"/>
        <v>0.79110187784517483</v>
      </c>
    </row>
    <row r="67" spans="1:7">
      <c r="A67" s="64">
        <v>53</v>
      </c>
      <c r="B67" s="103">
        <f t="shared" si="0"/>
        <v>0.20889812215482517</v>
      </c>
      <c r="C67" s="103">
        <f t="shared" si="5"/>
        <v>0.25</v>
      </c>
      <c r="D67" s="103">
        <f t="shared" si="1"/>
        <v>1.0607486659489416</v>
      </c>
      <c r="E67" s="118">
        <f t="shared" si="2"/>
        <v>0.7808446770152051</v>
      </c>
      <c r="F67" s="118">
        <f t="shared" si="3"/>
        <v>0</v>
      </c>
      <c r="G67" s="118">
        <f t="shared" si="4"/>
        <v>0.7808446770152051</v>
      </c>
    </row>
    <row r="68" spans="1:7">
      <c r="A68" s="64">
        <v>54</v>
      </c>
      <c r="B68" s="103">
        <f t="shared" si="0"/>
        <v>0.2191553229847949</v>
      </c>
      <c r="C68" s="103">
        <f t="shared" si="5"/>
        <v>0.25</v>
      </c>
      <c r="D68" s="103">
        <f t="shared" si="1"/>
        <v>1.0650569988871277</v>
      </c>
      <c r="E68" s="118">
        <f t="shared" si="2"/>
        <v>0.7716036762155718</v>
      </c>
      <c r="F68" s="118">
        <f t="shared" si="3"/>
        <v>0</v>
      </c>
      <c r="G68" s="118">
        <f t="shared" si="4"/>
        <v>0.7716036762155718</v>
      </c>
    </row>
    <row r="69" spans="1:7">
      <c r="A69" s="64">
        <v>55</v>
      </c>
      <c r="B69" s="103">
        <f t="shared" si="0"/>
        <v>0.2283963237844282</v>
      </c>
      <c r="C69" s="103">
        <f t="shared" si="5"/>
        <v>0.25</v>
      </c>
      <c r="D69" s="103">
        <f t="shared" si="1"/>
        <v>1.0695243164611652</v>
      </c>
      <c r="E69" s="118">
        <f t="shared" si="2"/>
        <v>0.76331906972107832</v>
      </c>
      <c r="F69" s="118">
        <f t="shared" si="3"/>
        <v>0</v>
      </c>
      <c r="G69" s="118">
        <f t="shared" si="4"/>
        <v>0.76331906972107832</v>
      </c>
    </row>
    <row r="70" spans="1:7">
      <c r="A70" s="64">
        <v>56</v>
      </c>
      <c r="B70" s="103">
        <f t="shared" si="0"/>
        <v>0.23668093027892168</v>
      </c>
      <c r="C70" s="103">
        <f t="shared" si="5"/>
        <v>0.25</v>
      </c>
      <c r="D70" s="103">
        <f t="shared" si="1"/>
        <v>1.0741021888845825</v>
      </c>
      <c r="E70" s="118">
        <f t="shared" si="2"/>
        <v>0.75593184547667158</v>
      </c>
      <c r="F70" s="118">
        <f t="shared" si="3"/>
        <v>0</v>
      </c>
      <c r="G70" s="118">
        <f t="shared" si="4"/>
        <v>0.75593184547667158</v>
      </c>
    </row>
    <row r="71" spans="1:7">
      <c r="A71" s="64">
        <v>57</v>
      </c>
      <c r="B71" s="103">
        <f t="shared" si="0"/>
        <v>0.24406815452332842</v>
      </c>
      <c r="C71" s="103">
        <f t="shared" si="5"/>
        <v>0.25</v>
      </c>
      <c r="D71" s="103">
        <f t="shared" si="1"/>
        <v>1.078747216203334</v>
      </c>
      <c r="E71" s="118">
        <f t="shared" si="2"/>
        <v>0.74938408064364803</v>
      </c>
      <c r="F71" s="118">
        <f t="shared" si="3"/>
        <v>0</v>
      </c>
      <c r="G71" s="118">
        <f t="shared" si="4"/>
        <v>0.74938408064364803</v>
      </c>
    </row>
    <row r="72" spans="1:7">
      <c r="A72" s="64">
        <v>58</v>
      </c>
      <c r="B72" s="103">
        <f t="shared" si="0"/>
        <v>0.25061591935635197</v>
      </c>
      <c r="C72" s="103">
        <f t="shared" si="5"/>
        <v>0.25</v>
      </c>
      <c r="D72" s="103">
        <f t="shared" si="1"/>
        <v>1.0834207168176306</v>
      </c>
      <c r="E72" s="118">
        <f t="shared" si="2"/>
        <v>0.74361919479532124</v>
      </c>
      <c r="F72" s="118">
        <f t="shared" si="3"/>
        <v>0</v>
      </c>
      <c r="G72" s="118">
        <f t="shared" si="4"/>
        <v>0.74361919479532124</v>
      </c>
    </row>
    <row r="73" spans="1:7">
      <c r="A73" s="64">
        <v>59</v>
      </c>
      <c r="B73" s="103">
        <f t="shared" si="0"/>
        <v>0.25638080520467876</v>
      </c>
      <c r="C73" s="103">
        <f t="shared" si="5"/>
        <v>0.25</v>
      </c>
      <c r="D73" s="103">
        <f t="shared" si="1"/>
        <v>1.088088421873282</v>
      </c>
      <c r="E73" s="118">
        <f t="shared" si="2"/>
        <v>0.73858216412634181</v>
      </c>
      <c r="F73" s="118">
        <f t="shared" si="3"/>
        <v>0</v>
      </c>
      <c r="G73" s="118">
        <f t="shared" si="4"/>
        <v>0.73858216412634181</v>
      </c>
    </row>
    <row r="74" spans="1:7">
      <c r="A74" s="64">
        <v>60</v>
      </c>
      <c r="B74" s="103">
        <f t="shared" si="0"/>
        <v>0.26141783587365819</v>
      </c>
      <c r="C74" s="103">
        <f t="shared" si="5"/>
        <v>0.25</v>
      </c>
      <c r="D74" s="103">
        <f t="shared" si="1"/>
        <v>1.0927201768438561</v>
      </c>
      <c r="E74" s="118">
        <f t="shared" si="2"/>
        <v>0.73421969989733116</v>
      </c>
      <c r="F74" s="118">
        <f t="shared" si="3"/>
        <v>0</v>
      </c>
      <c r="G74" s="118">
        <f t="shared" si="4"/>
        <v>0.73421969989733116</v>
      </c>
    </row>
    <row r="75" spans="1:7">
      <c r="A75" s="64">
        <v>61</v>
      </c>
      <c r="B75" s="103">
        <f t="shared" si="0"/>
        <v>0.26578030010266884</v>
      </c>
      <c r="C75" s="103">
        <f t="shared" si="5"/>
        <v>0.25</v>
      </c>
      <c r="D75" s="103">
        <f t="shared" si="1"/>
        <v>1.0972896514202837</v>
      </c>
      <c r="E75" s="118">
        <f t="shared" si="2"/>
        <v>0.73048039418963018</v>
      </c>
      <c r="F75" s="118">
        <f t="shared" si="3"/>
        <v>0</v>
      </c>
      <c r="G75" s="118">
        <f t="shared" si="4"/>
        <v>0.73048039418963018</v>
      </c>
    </row>
    <row r="76" spans="1:7">
      <c r="A76" s="64">
        <v>62</v>
      </c>
      <c r="B76" s="103">
        <f t="shared" si="0"/>
        <v>0.26951960581036982</v>
      </c>
      <c r="C76" s="103">
        <f t="shared" si="5"/>
        <v>0.25</v>
      </c>
      <c r="D76" s="103">
        <f t="shared" si="1"/>
        <v>1.1017740586368259</v>
      </c>
      <c r="E76" s="118">
        <f t="shared" si="2"/>
        <v>0.72731483589524848</v>
      </c>
      <c r="F76" s="118">
        <f t="shared" si="3"/>
        <v>0</v>
      </c>
      <c r="G76" s="118">
        <f t="shared" si="4"/>
        <v>0.72731483589524848</v>
      </c>
    </row>
    <row r="77" spans="1:7">
      <c r="A77" s="64">
        <v>63</v>
      </c>
      <c r="B77" s="103">
        <f t="shared" si="0"/>
        <v>0.27268516410475152</v>
      </c>
      <c r="C77" s="103">
        <f t="shared" si="5"/>
        <v>0.25</v>
      </c>
      <c r="D77" s="103">
        <f t="shared" si="1"/>
        <v>1.1061538839908047</v>
      </c>
      <c r="E77" s="118">
        <f t="shared" si="2"/>
        <v>0.72467569971586865</v>
      </c>
      <c r="F77" s="118">
        <f t="shared" si="3"/>
        <v>0</v>
      </c>
      <c r="G77" s="118">
        <f t="shared" si="4"/>
        <v>0.72467569971586865</v>
      </c>
    </row>
    <row r="78" spans="1:7">
      <c r="A78" s="64">
        <v>64</v>
      </c>
      <c r="B78" s="103">
        <f t="shared" si="0"/>
        <v>0.27532430028413135</v>
      </c>
      <c r="C78" s="103">
        <f t="shared" si="5"/>
        <v>0.25</v>
      </c>
      <c r="D78" s="103">
        <f t="shared" si="1"/>
        <v>1.1104126251573667</v>
      </c>
      <c r="E78" s="118">
        <f t="shared" si="2"/>
        <v>0.72251781079318245</v>
      </c>
      <c r="F78" s="118">
        <f t="shared" si="3"/>
        <v>0</v>
      </c>
      <c r="G78" s="118">
        <f t="shared" si="4"/>
        <v>0.72251781079318245</v>
      </c>
    </row>
    <row r="79" spans="1:7">
      <c r="A79" s="64">
        <v>65</v>
      </c>
      <c r="B79" s="103">
        <f t="shared" ref="B79:B98" si="6">$B$9-F78-G78</f>
        <v>0.27748218920681755</v>
      </c>
      <c r="C79" s="103">
        <f t="shared" si="5"/>
        <v>0.25</v>
      </c>
      <c r="D79" s="103">
        <f t="shared" ref="D79:D98" si="7">$M$7*((-$L$4*$L$5/($B$6*(1+$L$5)))*C79+($L$4/(1+$L$5))*E78+($L$4/$B$6)*B79+D78)</f>
        <v>1.1145365427590246</v>
      </c>
      <c r="E79" s="118">
        <f t="shared" ref="E79:E98" si="8">$M$8*($L$5*D79-($L$5/$B$6)*C79+E78)</f>
        <v>0.72079818744196211</v>
      </c>
      <c r="F79" s="118">
        <f t="shared" ref="F79:F98" si="9">$I$10*D79</f>
        <v>0</v>
      </c>
      <c r="G79" s="118">
        <f t="shared" ref="G79:G98" si="10">$I$11*E79</f>
        <v>0.72079818744196211</v>
      </c>
    </row>
    <row r="80" spans="1:7">
      <c r="A80" s="64">
        <v>66</v>
      </c>
      <c r="B80" s="103">
        <f t="shared" si="6"/>
        <v>0.27920181255803789</v>
      </c>
      <c r="C80" s="103">
        <f t="shared" si="5"/>
        <v>0.25</v>
      </c>
      <c r="D80" s="103">
        <f t="shared" si="7"/>
        <v>1.1185144225219896</v>
      </c>
      <c r="E80" s="118">
        <f t="shared" si="8"/>
        <v>0.71947606430801059</v>
      </c>
      <c r="F80" s="118">
        <f t="shared" si="9"/>
        <v>0</v>
      </c>
      <c r="G80" s="118">
        <f t="shared" si="10"/>
        <v>0.71947606430801059</v>
      </c>
    </row>
    <row r="81" spans="1:7">
      <c r="A81" s="64">
        <v>67</v>
      </c>
      <c r="B81" s="103">
        <f t="shared" si="6"/>
        <v>0.28052393569198941</v>
      </c>
      <c r="C81" s="103">
        <f t="shared" si="5"/>
        <v>0.25</v>
      </c>
      <c r="D81" s="103">
        <f t="shared" si="7"/>
        <v>1.1223373490365711</v>
      </c>
      <c r="E81" s="118">
        <f t="shared" si="8"/>
        <v>0.71851289812628227</v>
      </c>
      <c r="F81" s="118">
        <f t="shared" si="9"/>
        <v>0</v>
      </c>
      <c r="G81" s="118">
        <f t="shared" si="10"/>
        <v>0.71851289812628227</v>
      </c>
    </row>
    <row r="82" spans="1:7">
      <c r="A82" s="64">
        <v>68</v>
      </c>
      <c r="B82" s="103">
        <f t="shared" si="6"/>
        <v>0.28148710187371773</v>
      </c>
      <c r="C82" s="103">
        <f t="shared" si="5"/>
        <v>0.25</v>
      </c>
      <c r="D82" s="103">
        <f t="shared" si="7"/>
        <v>1.1259984912364012</v>
      </c>
      <c r="E82" s="118">
        <f t="shared" si="8"/>
        <v>0.71787235811070926</v>
      </c>
      <c r="F82" s="118">
        <f t="shared" si="9"/>
        <v>0</v>
      </c>
      <c r="G82" s="118">
        <f t="shared" si="10"/>
        <v>0.71787235811070926</v>
      </c>
    </row>
    <row r="83" spans="1:7">
      <c r="A83" s="64">
        <v>69</v>
      </c>
      <c r="B83" s="103">
        <f t="shared" si="6"/>
        <v>0.28212764188929074</v>
      </c>
      <c r="C83" s="103">
        <f t="shared" si="5"/>
        <v>0.25</v>
      </c>
      <c r="D83" s="103">
        <f t="shared" si="7"/>
        <v>1.1294928996201519</v>
      </c>
      <c r="E83" s="118">
        <f t="shared" si="8"/>
        <v>0.71752030286718205</v>
      </c>
      <c r="F83" s="118">
        <f t="shared" si="9"/>
        <v>0</v>
      </c>
      <c r="G83" s="118">
        <f t="shared" si="10"/>
        <v>0.71752030286718205</v>
      </c>
    </row>
    <row r="84" spans="1:7">
      <c r="A84" s="64">
        <v>70</v>
      </c>
      <c r="B84" s="103">
        <f t="shared" si="6"/>
        <v>0.28247969713281795</v>
      </c>
      <c r="C84" s="103">
        <f t="shared" si="5"/>
        <v>0.25</v>
      </c>
      <c r="D84" s="103">
        <f t="shared" si="7"/>
        <v>1.1328173151590062</v>
      </c>
      <c r="E84" s="118">
        <f t="shared" si="8"/>
        <v>0.71742474558521629</v>
      </c>
      <c r="F84" s="118">
        <f t="shared" si="9"/>
        <v>0</v>
      </c>
      <c r="G84" s="118">
        <f t="shared" si="10"/>
        <v>0.71742474558521629</v>
      </c>
    </row>
    <row r="85" spans="1:7">
      <c r="A85" s="64">
        <v>71</v>
      </c>
      <c r="B85" s="103">
        <f t="shared" si="6"/>
        <v>0.28257525441478371</v>
      </c>
      <c r="C85" s="103">
        <f t="shared" si="5"/>
        <v>0.25</v>
      </c>
      <c r="D85" s="103">
        <f t="shared" si="7"/>
        <v>1.1359699897626727</v>
      </c>
      <c r="E85" s="118">
        <f t="shared" si="8"/>
        <v>0.71755580913248074</v>
      </c>
      <c r="F85" s="118">
        <f t="shared" si="9"/>
        <v>0</v>
      </c>
      <c r="G85" s="118">
        <f t="shared" si="10"/>
        <v>0.71755580913248074</v>
      </c>
    </row>
    <row r="86" spans="1:7">
      <c r="A86" s="64">
        <v>72</v>
      </c>
      <c r="B86" s="103">
        <f t="shared" si="6"/>
        <v>0.28244419086751926</v>
      </c>
      <c r="C86" s="103">
        <f t="shared" si="5"/>
        <v>0.25</v>
      </c>
      <c r="D86" s="103">
        <f t="shared" si="7"/>
        <v>1.1389505181154891</v>
      </c>
      <c r="E86" s="118">
        <f t="shared" si="8"/>
        <v>0.71788567254989988</v>
      </c>
      <c r="F86" s="118">
        <f t="shared" si="9"/>
        <v>0</v>
      </c>
      <c r="G86" s="118">
        <f t="shared" si="10"/>
        <v>0.71788567254989988</v>
      </c>
    </row>
    <row r="87" spans="1:7">
      <c r="A87" s="64">
        <v>73</v>
      </c>
      <c r="B87" s="103">
        <f t="shared" si="6"/>
        <v>0.28211432745010012</v>
      </c>
      <c r="C87" s="103">
        <f t="shared" si="5"/>
        <v>0.25</v>
      </c>
      <c r="D87" s="103">
        <f t="shared" si="7"/>
        <v>1.1417596806414365</v>
      </c>
      <c r="E87" s="118">
        <f t="shared" si="8"/>
        <v>0.71838851032372797</v>
      </c>
      <c r="F87" s="118">
        <f t="shared" si="9"/>
        <v>0</v>
      </c>
      <c r="G87" s="118">
        <f t="shared" si="10"/>
        <v>0.71838851032372797</v>
      </c>
    </row>
    <row r="88" spans="1:7">
      <c r="A88" s="64">
        <v>74</v>
      </c>
      <c r="B88" s="103">
        <f t="shared" si="6"/>
        <v>0.28161148967627203</v>
      </c>
      <c r="C88" s="103">
        <f t="shared" si="5"/>
        <v>0.25</v>
      </c>
      <c r="D88" s="103">
        <f t="shared" si="7"/>
        <v>1.1443992973120414</v>
      </c>
      <c r="E88" s="118">
        <f t="shared" si="8"/>
        <v>0.71904042569500559</v>
      </c>
      <c r="F88" s="118">
        <f t="shared" si="9"/>
        <v>0</v>
      </c>
      <c r="G88" s="118">
        <f t="shared" si="10"/>
        <v>0.71904042569500559</v>
      </c>
    </row>
    <row r="89" spans="1:7">
      <c r="A89" s="64">
        <v>75</v>
      </c>
      <c r="B89" s="103">
        <f t="shared" si="6"/>
        <v>0.28095957430499441</v>
      </c>
      <c r="C89" s="103">
        <f t="shared" si="5"/>
        <v>0.25</v>
      </c>
      <c r="D89" s="103">
        <f t="shared" si="7"/>
        <v>1.146872091973508</v>
      </c>
      <c r="E89" s="118">
        <f t="shared" si="8"/>
        <v>0.71981937915629646</v>
      </c>
      <c r="F89" s="118">
        <f t="shared" si="9"/>
        <v>0</v>
      </c>
      <c r="G89" s="118">
        <f t="shared" si="10"/>
        <v>0.71981937915629646</v>
      </c>
    </row>
    <row r="90" spans="1:7">
      <c r="A90" s="64">
        <v>76</v>
      </c>
      <c r="B90" s="103">
        <f t="shared" si="6"/>
        <v>0.28018062084370354</v>
      </c>
      <c r="C90" s="103">
        <f t="shared" si="5"/>
        <v>0.25</v>
      </c>
      <c r="D90" s="103">
        <f t="shared" si="7"/>
        <v>1.1491815668384116</v>
      </c>
      <c r="E90" s="118">
        <f t="shared" si="8"/>
        <v>0.72070511318063002</v>
      </c>
      <c r="F90" s="118">
        <f t="shared" si="9"/>
        <v>0</v>
      </c>
      <c r="G90" s="118">
        <f t="shared" si="10"/>
        <v>0.72070511318063002</v>
      </c>
    </row>
    <row r="91" spans="1:7">
      <c r="A91" s="64">
        <v>77</v>
      </c>
      <c r="B91" s="103">
        <f t="shared" si="6"/>
        <v>0.27929488681936998</v>
      </c>
      <c r="C91" s="103">
        <f t="shared" si="5"/>
        <v>0.25</v>
      </c>
      <c r="D91" s="103">
        <f t="shared" si="7"/>
        <v>1.1513318867623015</v>
      </c>
      <c r="E91" s="118">
        <f t="shared" si="8"/>
        <v>0.72167907412818855</v>
      </c>
      <c r="F91" s="118">
        <f t="shared" si="9"/>
        <v>0</v>
      </c>
      <c r="G91" s="118">
        <f t="shared" si="10"/>
        <v>0.72167907412818855</v>
      </c>
    </row>
    <row r="92" spans="1:7">
      <c r="A92" s="64">
        <v>78</v>
      </c>
      <c r="B92" s="103">
        <f t="shared" si="6"/>
        <v>0.27832092587181145</v>
      </c>
      <c r="C92" s="103">
        <f t="shared" si="5"/>
        <v>0.25</v>
      </c>
      <c r="D92" s="103">
        <f t="shared" si="7"/>
        <v>1.153327772906066</v>
      </c>
      <c r="E92" s="118">
        <f t="shared" si="8"/>
        <v>0.72272433218245902</v>
      </c>
      <c r="F92" s="118">
        <f t="shared" si="9"/>
        <v>0</v>
      </c>
      <c r="G92" s="118">
        <f t="shared" si="10"/>
        <v>0.72272433218245902</v>
      </c>
    </row>
    <row r="93" spans="1:7">
      <c r="A93" s="64">
        <v>79</v>
      </c>
      <c r="B93" s="103">
        <f t="shared" si="6"/>
        <v>0.27727566781754098</v>
      </c>
      <c r="C93" s="103">
        <f t="shared" si="5"/>
        <v>0.25</v>
      </c>
      <c r="D93" s="103">
        <f t="shared" si="7"/>
        <v>1.1551744053703561</v>
      </c>
      <c r="E93" s="118">
        <f t="shared" si="8"/>
        <v>0.72382550007928903</v>
      </c>
      <c r="F93" s="118">
        <f t="shared" si="9"/>
        <v>0</v>
      </c>
      <c r="G93" s="118">
        <f t="shared" si="10"/>
        <v>0.72382550007928903</v>
      </c>
    </row>
    <row r="94" spans="1:7">
      <c r="A94" s="64">
        <v>80</v>
      </c>
      <c r="B94" s="103">
        <f t="shared" si="6"/>
        <v>0.27617449992071097</v>
      </c>
      <c r="C94" s="103">
        <f t="shared" si="5"/>
        <v>0.25</v>
      </c>
      <c r="D94" s="103">
        <f t="shared" si="7"/>
        <v>1.1568773343782965</v>
      </c>
      <c r="E94" s="118">
        <f t="shared" si="8"/>
        <v>0.72496865130945232</v>
      </c>
      <c r="F94" s="118">
        <f t="shared" si="9"/>
        <v>0</v>
      </c>
      <c r="G94" s="118">
        <f t="shared" si="10"/>
        <v>0.72496865130945232</v>
      </c>
    </row>
    <row r="95" spans="1:7">
      <c r="A95" s="64">
        <v>81</v>
      </c>
      <c r="B95" s="103">
        <f t="shared" si="6"/>
        <v>0.27503134869054768</v>
      </c>
      <c r="C95" s="103">
        <f t="shared" si="5"/>
        <v>0.25</v>
      </c>
      <c r="D95" s="103">
        <f t="shared" si="7"/>
        <v>1.1584423995766253</v>
      </c>
      <c r="E95" s="118">
        <f t="shared" si="8"/>
        <v>0.72614123839785971</v>
      </c>
      <c r="F95" s="118">
        <f t="shared" si="9"/>
        <v>0</v>
      </c>
      <c r="G95" s="118">
        <f t="shared" si="10"/>
        <v>0.72614123839785971</v>
      </c>
    </row>
    <row r="96" spans="1:7">
      <c r="A96" s="64">
        <v>82</v>
      </c>
      <c r="B96" s="103">
        <f t="shared" si="6"/>
        <v>0.27385876160214029</v>
      </c>
      <c r="C96" s="103">
        <f t="shared" si="5"/>
        <v>0.25</v>
      </c>
      <c r="D96" s="103">
        <f t="shared" si="7"/>
        <v>1.1598756570228843</v>
      </c>
      <c r="E96" s="118">
        <f t="shared" si="8"/>
        <v>0.72733201179030327</v>
      </c>
      <c r="F96" s="118">
        <f t="shared" si="9"/>
        <v>0</v>
      </c>
      <c r="G96" s="118">
        <f t="shared" si="10"/>
        <v>0.72733201179030327</v>
      </c>
    </row>
    <row r="97" spans="1:7">
      <c r="A97" s="64">
        <v>83</v>
      </c>
      <c r="B97" s="103">
        <f t="shared" si="6"/>
        <v>0.27266798820969673</v>
      </c>
      <c r="C97" s="103">
        <f t="shared" si="5"/>
        <v>0.25</v>
      </c>
      <c r="D97" s="103">
        <f t="shared" si="7"/>
        <v>1.161183313426926</v>
      </c>
      <c r="E97" s="118">
        <f t="shared" si="8"/>
        <v>0.728530939811463</v>
      </c>
      <c r="F97" s="118">
        <f t="shared" si="9"/>
        <v>0</v>
      </c>
      <c r="G97" s="118">
        <f t="shared" si="10"/>
        <v>0.728530939811463</v>
      </c>
    </row>
    <row r="98" spans="1:7">
      <c r="A98" s="64">
        <v>84</v>
      </c>
      <c r="B98" s="103">
        <f t="shared" si="6"/>
        <v>0.271469060188537</v>
      </c>
      <c r="C98" s="103">
        <f t="shared" si="5"/>
        <v>0.25</v>
      </c>
      <c r="D98" s="103">
        <f t="shared" si="7"/>
        <v>1.1623716672184148</v>
      </c>
      <c r="E98" s="118">
        <f t="shared" si="8"/>
        <v>0.72972913009566887</v>
      </c>
      <c r="F98" s="118">
        <f t="shared" si="9"/>
        <v>0</v>
      </c>
      <c r="G98" s="118">
        <f t="shared" si="10"/>
        <v>0.72972913009566887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opLeftCell="A8" workbookViewId="0">
      <selection activeCell="U41" sqref="U41"/>
    </sheetView>
  </sheetViews>
  <sheetFormatPr baseColWidth="10" defaultRowHeight="15" x14ac:dyDescent="0"/>
  <cols>
    <col min="7" max="7" width="12.1640625" bestFit="1" customWidth="1"/>
  </cols>
  <sheetData>
    <row r="1" spans="1:14">
      <c r="A1" s="171" t="s">
        <v>340</v>
      </c>
      <c r="E1" t="s">
        <v>341</v>
      </c>
      <c r="F1" t="s">
        <v>350</v>
      </c>
      <c r="J1" s="170" t="s">
        <v>346</v>
      </c>
      <c r="K1" s="145">
        <v>0.2</v>
      </c>
      <c r="M1" t="s">
        <v>354</v>
      </c>
      <c r="N1">
        <v>0.01</v>
      </c>
    </row>
    <row r="2" spans="1:14">
      <c r="E2" t="s">
        <v>342</v>
      </c>
      <c r="F2" t="s">
        <v>349</v>
      </c>
      <c r="J2" s="170" t="s">
        <v>102</v>
      </c>
      <c r="K2" s="145">
        <v>-0.1</v>
      </c>
    </row>
    <row r="3" spans="1:14">
      <c r="E3" t="s">
        <v>344</v>
      </c>
      <c r="G3" t="s">
        <v>345</v>
      </c>
      <c r="J3" s="170" t="s">
        <v>347</v>
      </c>
      <c r="K3" s="145">
        <v>0.8</v>
      </c>
    </row>
    <row r="4" spans="1:14">
      <c r="A4" t="s">
        <v>343</v>
      </c>
      <c r="J4" s="170" t="s">
        <v>348</v>
      </c>
      <c r="K4" s="145">
        <v>0.1</v>
      </c>
    </row>
    <row r="5" spans="1:14">
      <c r="A5" s="64" t="s">
        <v>17</v>
      </c>
      <c r="B5" s="64" t="s">
        <v>351</v>
      </c>
      <c r="C5" s="64" t="s">
        <v>352</v>
      </c>
      <c r="D5" s="64" t="s">
        <v>353</v>
      </c>
      <c r="E5" s="64" t="s">
        <v>355</v>
      </c>
      <c r="F5" s="64" t="s">
        <v>64</v>
      </c>
      <c r="G5" s="64"/>
    </row>
    <row r="6" spans="1:14">
      <c r="A6" s="159">
        <v>-2</v>
      </c>
      <c r="B6" s="160"/>
      <c r="C6" s="172"/>
      <c r="D6" s="169">
        <v>0</v>
      </c>
      <c r="E6" s="169">
        <v>0</v>
      </c>
      <c r="F6" s="64"/>
      <c r="G6" s="64"/>
    </row>
    <row r="7" spans="1:14">
      <c r="A7" s="159">
        <v>-1</v>
      </c>
      <c r="B7" s="159">
        <v>0</v>
      </c>
      <c r="C7" s="169">
        <v>0</v>
      </c>
      <c r="D7" s="169">
        <v>0</v>
      </c>
      <c r="E7" s="169">
        <v>0</v>
      </c>
      <c r="F7" s="64"/>
      <c r="G7" s="64"/>
    </row>
    <row r="8" spans="1:14">
      <c r="A8" s="117">
        <v>0</v>
      </c>
      <c r="B8" s="117">
        <v>1</v>
      </c>
      <c r="C8" s="118">
        <f>$K$3*C7+$K$1*B8</f>
        <v>0.2</v>
      </c>
      <c r="D8" s="118">
        <f>$K$3*D7+$K$4*D6+$K$1*B8+$K$2*B7</f>
        <v>0.2</v>
      </c>
      <c r="E8" s="118">
        <f ca="1">$K$3*E7+$K$4*E6+$K$1*B8+$K$2*B7+ $N$1*(RAND()-0.5)</f>
        <v>0.1956203076986501</v>
      </c>
      <c r="F8" s="118">
        <f ca="1">E8-D8</f>
        <v>-4.3796923013499078E-3</v>
      </c>
      <c r="G8" s="118"/>
    </row>
    <row r="9" spans="1:14">
      <c r="A9" s="117">
        <v>1</v>
      </c>
      <c r="B9" s="117">
        <v>1</v>
      </c>
      <c r="C9" s="118">
        <f t="shared" ref="C9:C50" si="0">$K$3*C8+$K$1*B9</f>
        <v>0.36000000000000004</v>
      </c>
      <c r="D9" s="118">
        <f t="shared" ref="D9:D72" si="1">$K$3*D8+$K$4*D7+$K$1*B9+$K$2*B8</f>
        <v>0.26</v>
      </c>
      <c r="E9" s="118">
        <f ca="1">$K$3*E8+$K$4*E7+$K$1*B9+$K$2*B8+ $N$1*(RAND()-0.5)</f>
        <v>0.2593706763820266</v>
      </c>
      <c r="F9" s="118">
        <f t="shared" ref="F9:F72" ca="1" si="2">E9-D9</f>
        <v>-6.2932361797340963E-4</v>
      </c>
      <c r="G9" s="118"/>
    </row>
    <row r="10" spans="1:14">
      <c r="A10" s="117">
        <v>2</v>
      </c>
      <c r="B10" s="117">
        <v>1</v>
      </c>
      <c r="C10" s="118">
        <f t="shared" si="0"/>
        <v>0.48800000000000004</v>
      </c>
      <c r="D10" s="118">
        <f t="shared" si="1"/>
        <v>0.32800000000000007</v>
      </c>
      <c r="E10" s="118">
        <f t="shared" ref="E10:E72" ca="1" si="3">$K$3*E9+$K$4*E8+$K$1*B10+$K$2*B9+ $N$1*(RAND()-0.5)</f>
        <v>0.32359470726610956</v>
      </c>
      <c r="F10" s="118">
        <f t="shared" ca="1" si="2"/>
        <v>-4.405292733890509E-3</v>
      </c>
      <c r="G10" s="118"/>
    </row>
    <row r="11" spans="1:14">
      <c r="A11" s="117">
        <v>3</v>
      </c>
      <c r="B11" s="117">
        <v>1</v>
      </c>
      <c r="C11" s="118">
        <f t="shared" si="0"/>
        <v>0.59040000000000004</v>
      </c>
      <c r="D11" s="118">
        <f t="shared" si="1"/>
        <v>0.38840000000000008</v>
      </c>
      <c r="E11" s="118">
        <f t="shared" ca="1" si="3"/>
        <v>0.38827754903679762</v>
      </c>
      <c r="F11" s="118">
        <f t="shared" ca="1" si="2"/>
        <v>-1.2245096320245841E-4</v>
      </c>
      <c r="G11" s="118"/>
    </row>
    <row r="12" spans="1:14">
      <c r="A12" s="117">
        <v>4</v>
      </c>
      <c r="B12" s="117">
        <v>1</v>
      </c>
      <c r="C12" s="118">
        <f t="shared" si="0"/>
        <v>0.67232000000000003</v>
      </c>
      <c r="D12" s="118">
        <f t="shared" si="1"/>
        <v>0.44352000000000014</v>
      </c>
      <c r="E12" s="118">
        <f t="shared" ca="1" si="3"/>
        <v>0.44122622906829528</v>
      </c>
      <c r="F12" s="118">
        <f t="shared" ca="1" si="2"/>
        <v>-2.2937709317048527E-3</v>
      </c>
      <c r="G12" s="118"/>
    </row>
    <row r="13" spans="1:14">
      <c r="A13" s="117">
        <v>5</v>
      </c>
      <c r="B13" s="117">
        <v>1</v>
      </c>
      <c r="C13" s="118">
        <f t="shared" si="0"/>
        <v>0.73785600000000007</v>
      </c>
      <c r="D13" s="118">
        <f t="shared" si="1"/>
        <v>0.49365600000000021</v>
      </c>
      <c r="E13" s="118">
        <f t="shared" ca="1" si="3"/>
        <v>0.49301273822553771</v>
      </c>
      <c r="F13" s="118">
        <f t="shared" ca="1" si="2"/>
        <v>-6.4326177446250021E-4</v>
      </c>
      <c r="G13" s="118"/>
    </row>
    <row r="14" spans="1:14">
      <c r="A14" s="117">
        <v>6</v>
      </c>
      <c r="B14" s="117">
        <v>1</v>
      </c>
      <c r="C14" s="118">
        <f t="shared" si="0"/>
        <v>0.79028480000000001</v>
      </c>
      <c r="D14" s="118">
        <f t="shared" si="1"/>
        <v>0.53927680000000022</v>
      </c>
      <c r="E14" s="118">
        <f t="shared" ca="1" si="3"/>
        <v>0.53822544096742875</v>
      </c>
      <c r="F14" s="118">
        <f t="shared" ca="1" si="2"/>
        <v>-1.051359032571475E-3</v>
      </c>
      <c r="G14" s="118"/>
    </row>
    <row r="15" spans="1:14">
      <c r="A15" s="117">
        <v>7</v>
      </c>
      <c r="B15" s="117">
        <v>1</v>
      </c>
      <c r="C15" s="118">
        <f t="shared" si="0"/>
        <v>0.83222784000000005</v>
      </c>
      <c r="D15" s="118">
        <f t="shared" si="1"/>
        <v>0.58078704000000025</v>
      </c>
      <c r="E15" s="118">
        <f t="shared" ca="1" si="3"/>
        <v>0.57848786045372447</v>
      </c>
      <c r="F15" s="118">
        <f t="shared" ca="1" si="2"/>
        <v>-2.2991795462757869E-3</v>
      </c>
      <c r="G15" s="118"/>
    </row>
    <row r="16" spans="1:14">
      <c r="A16" s="117">
        <v>8</v>
      </c>
      <c r="B16" s="117">
        <v>1</v>
      </c>
      <c r="C16" s="118">
        <f t="shared" si="0"/>
        <v>0.86578227200000013</v>
      </c>
      <c r="D16" s="118">
        <f t="shared" si="1"/>
        <v>0.61855731200000019</v>
      </c>
      <c r="E16" s="118">
        <f t="shared" ca="1" si="3"/>
        <v>0.61370986881954881</v>
      </c>
      <c r="F16" s="118">
        <f t="shared" ca="1" si="2"/>
        <v>-4.8474431804513829E-3</v>
      </c>
      <c r="G16" s="118"/>
    </row>
    <row r="17" spans="1:8">
      <c r="A17" s="117">
        <v>9</v>
      </c>
      <c r="B17" s="117">
        <v>1</v>
      </c>
      <c r="C17" s="118">
        <f t="shared" si="0"/>
        <v>0.89262581760000015</v>
      </c>
      <c r="D17" s="118">
        <f t="shared" si="1"/>
        <v>0.65292455360000023</v>
      </c>
      <c r="E17" s="118">
        <f t="shared" ca="1" si="3"/>
        <v>0.65334774504774906</v>
      </c>
      <c r="F17" s="118">
        <f t="shared" ca="1" si="2"/>
        <v>4.2319144774882744E-4</v>
      </c>
      <c r="G17" s="118"/>
    </row>
    <row r="18" spans="1:8">
      <c r="A18" s="117">
        <v>10</v>
      </c>
      <c r="B18" s="117">
        <v>1</v>
      </c>
      <c r="C18" s="118">
        <f t="shared" si="0"/>
        <v>0.91410065408000007</v>
      </c>
      <c r="D18" s="118">
        <f t="shared" si="1"/>
        <v>0.68419537408000031</v>
      </c>
      <c r="E18" s="118">
        <f t="shared" ca="1" si="3"/>
        <v>0.68359966944322259</v>
      </c>
      <c r="F18" s="118">
        <f t="shared" ca="1" si="2"/>
        <v>-5.9570463677771635E-4</v>
      </c>
      <c r="G18" s="118"/>
    </row>
    <row r="19" spans="1:8">
      <c r="A19" s="117">
        <v>11</v>
      </c>
      <c r="B19" s="117">
        <v>1</v>
      </c>
      <c r="C19" s="118">
        <f t="shared" si="0"/>
        <v>0.93128052326400002</v>
      </c>
      <c r="D19" s="118">
        <f t="shared" si="1"/>
        <v>0.71264875462400046</v>
      </c>
      <c r="E19" s="118">
        <f t="shared" ca="1" si="3"/>
        <v>0.71701483124331733</v>
      </c>
      <c r="F19" s="118">
        <f t="shared" ca="1" si="2"/>
        <v>4.3660766193168721E-3</v>
      </c>
      <c r="G19" s="118"/>
    </row>
    <row r="20" spans="1:8">
      <c r="A20" s="117">
        <v>12</v>
      </c>
      <c r="B20" s="117">
        <v>1</v>
      </c>
      <c r="C20" s="118">
        <f t="shared" si="0"/>
        <v>0.94502441861120001</v>
      </c>
      <c r="D20" s="118">
        <f t="shared" si="1"/>
        <v>0.73853854110720041</v>
      </c>
      <c r="E20" s="118">
        <f t="shared" ca="1" si="3"/>
        <v>0.73758596515511021</v>
      </c>
      <c r="F20" s="118">
        <f t="shared" ca="1" si="2"/>
        <v>-9.5257595209019552E-4</v>
      </c>
      <c r="G20" s="118"/>
    </row>
    <row r="21" spans="1:8">
      <c r="A21" s="117">
        <v>13</v>
      </c>
      <c r="B21" s="117">
        <v>1</v>
      </c>
      <c r="C21" s="118">
        <f t="shared" si="0"/>
        <v>0.95601953488895997</v>
      </c>
      <c r="D21" s="118">
        <f t="shared" si="1"/>
        <v>0.76209570834816043</v>
      </c>
      <c r="E21" s="118">
        <f t="shared" ca="1" si="3"/>
        <v>0.76373505962531085</v>
      </c>
      <c r="F21" s="118">
        <f t="shared" ca="1" si="2"/>
        <v>1.6393512771504248E-3</v>
      </c>
      <c r="G21" s="118"/>
    </row>
    <row r="22" spans="1:8">
      <c r="A22" s="117">
        <v>14</v>
      </c>
      <c r="B22" s="117">
        <v>1</v>
      </c>
      <c r="C22" s="118">
        <f t="shared" si="0"/>
        <v>0.96481562791116793</v>
      </c>
      <c r="D22" s="118">
        <f t="shared" si="1"/>
        <v>0.78353042078924851</v>
      </c>
      <c r="E22" s="118">
        <f t="shared" ca="1" si="3"/>
        <v>0.78635332604278063</v>
      </c>
      <c r="F22" s="118">
        <f t="shared" ca="1" si="2"/>
        <v>2.8229052535321264E-3</v>
      </c>
      <c r="G22" s="118"/>
    </row>
    <row r="23" spans="1:8">
      <c r="A23" s="117">
        <v>15</v>
      </c>
      <c r="B23" s="117">
        <v>1</v>
      </c>
      <c r="C23" s="118">
        <f t="shared" si="0"/>
        <v>0.97185250232893439</v>
      </c>
      <c r="D23" s="118">
        <f t="shared" si="1"/>
        <v>0.80303390746621484</v>
      </c>
      <c r="E23" s="118">
        <f t="shared" ca="1" si="3"/>
        <v>0.80159703476755273</v>
      </c>
      <c r="F23" s="118">
        <f t="shared" ca="1" si="2"/>
        <v>-1.4368726986621061E-3</v>
      </c>
      <c r="G23" s="118"/>
    </row>
    <row r="24" spans="1:8">
      <c r="A24" s="117">
        <v>16</v>
      </c>
      <c r="B24" s="117">
        <v>1</v>
      </c>
      <c r="C24" s="118">
        <f t="shared" si="0"/>
        <v>0.9774820018631476</v>
      </c>
      <c r="D24" s="118">
        <f t="shared" si="1"/>
        <v>0.8207801680518968</v>
      </c>
      <c r="E24" s="118">
        <f t="shared" ca="1" si="3"/>
        <v>0.81551850427100425</v>
      </c>
      <c r="F24" s="118">
        <f t="shared" ca="1" si="2"/>
        <v>-5.2616637808925448E-3</v>
      </c>
      <c r="G24" s="118"/>
    </row>
    <row r="25" spans="1:8">
      <c r="A25" s="117">
        <v>17</v>
      </c>
      <c r="B25" s="117">
        <v>1</v>
      </c>
      <c r="C25" s="118">
        <f t="shared" si="0"/>
        <v>0.98198560149051817</v>
      </c>
      <c r="D25" s="118">
        <f t="shared" si="1"/>
        <v>0.83692752518813907</v>
      </c>
      <c r="E25" s="118">
        <f t="shared" ca="1" si="3"/>
        <v>0.83606486028462268</v>
      </c>
      <c r="F25" s="118">
        <f t="shared" ca="1" si="2"/>
        <v>-8.6266490351638581E-4</v>
      </c>
      <c r="G25" s="118"/>
    </row>
    <row r="26" spans="1:8">
      <c r="A26" s="117">
        <v>18</v>
      </c>
      <c r="B26" s="117">
        <v>1</v>
      </c>
      <c r="C26" s="118">
        <f t="shared" si="0"/>
        <v>0.98558848119241449</v>
      </c>
      <c r="D26" s="118">
        <f t="shared" si="1"/>
        <v>0.8516200369557011</v>
      </c>
      <c r="E26" s="118">
        <f t="shared" ca="1" si="3"/>
        <v>0.85389390072433269</v>
      </c>
      <c r="F26" s="118">
        <f t="shared" ca="1" si="2"/>
        <v>2.2738637686315899E-3</v>
      </c>
      <c r="G26" s="118"/>
    </row>
    <row r="27" spans="1:8">
      <c r="A27" s="117">
        <v>19</v>
      </c>
      <c r="B27" s="117">
        <v>1</v>
      </c>
      <c r="C27" s="118">
        <f t="shared" si="0"/>
        <v>0.98847078495393159</v>
      </c>
      <c r="D27" s="118">
        <f t="shared" si="1"/>
        <v>0.86498878208337493</v>
      </c>
      <c r="E27" s="118">
        <f t="shared" ca="1" si="3"/>
        <v>0.8694739509371886</v>
      </c>
      <c r="F27" s="118">
        <f t="shared" ca="1" si="2"/>
        <v>4.4851688538136703E-3</v>
      </c>
      <c r="G27" s="118"/>
    </row>
    <row r="28" spans="1:8">
      <c r="A28" s="117">
        <v>20</v>
      </c>
      <c r="B28" s="117">
        <v>1</v>
      </c>
      <c r="C28" s="118">
        <f t="shared" si="0"/>
        <v>0.99077662796314536</v>
      </c>
      <c r="D28" s="118">
        <f t="shared" si="1"/>
        <v>0.87715302936227013</v>
      </c>
      <c r="E28" s="118">
        <f t="shared" ca="1" si="3"/>
        <v>0.88119166882396582</v>
      </c>
      <c r="F28" s="118">
        <f t="shared" ca="1" si="2"/>
        <v>4.0386394616956922E-3</v>
      </c>
      <c r="G28" s="118"/>
    </row>
    <row r="29" spans="1:8">
      <c r="A29" s="117">
        <v>21</v>
      </c>
      <c r="B29" s="117">
        <v>1</v>
      </c>
      <c r="C29" s="118">
        <f t="shared" si="0"/>
        <v>0.99262130237051638</v>
      </c>
      <c r="D29" s="118">
        <f t="shared" si="1"/>
        <v>0.88822130169815361</v>
      </c>
      <c r="E29" s="118">
        <f t="shared" ca="1" si="3"/>
        <v>0.89129875030996231</v>
      </c>
      <c r="F29" s="118">
        <f t="shared" ca="1" si="2"/>
        <v>3.0774486118086974E-3</v>
      </c>
      <c r="G29" s="118"/>
    </row>
    <row r="30" spans="1:8">
      <c r="A30" s="117">
        <v>22</v>
      </c>
      <c r="B30" s="117">
        <v>1</v>
      </c>
      <c r="C30" s="118">
        <f t="shared" si="0"/>
        <v>0.99409704189641324</v>
      </c>
      <c r="D30" s="118">
        <f t="shared" si="1"/>
        <v>0.89829234429475002</v>
      </c>
      <c r="E30" s="118">
        <f t="shared" ca="1" si="3"/>
        <v>0.90589389789552632</v>
      </c>
      <c r="F30" s="118">
        <f t="shared" ca="1" si="2"/>
        <v>7.6015536007763007E-3</v>
      </c>
      <c r="G30" s="118"/>
      <c r="H30" s="173"/>
    </row>
    <row r="31" spans="1:8">
      <c r="A31" s="117">
        <v>23</v>
      </c>
      <c r="B31" s="117">
        <v>1</v>
      </c>
      <c r="C31" s="118">
        <f t="shared" si="0"/>
        <v>0.99527763351713072</v>
      </c>
      <c r="D31" s="118">
        <f t="shared" si="1"/>
        <v>0.90745600560561546</v>
      </c>
      <c r="E31" s="118">
        <f t="shared" ca="1" si="3"/>
        <v>0.91826612065347213</v>
      </c>
      <c r="F31" s="118">
        <f t="shared" ca="1" si="2"/>
        <v>1.0810115047856672E-2</v>
      </c>
      <c r="G31" s="118"/>
    </row>
    <row r="32" spans="1:8">
      <c r="A32" s="117">
        <v>24</v>
      </c>
      <c r="B32" s="117">
        <v>1</v>
      </c>
      <c r="C32" s="118">
        <f t="shared" si="0"/>
        <v>0.99622210681370471</v>
      </c>
      <c r="D32" s="118">
        <f t="shared" si="1"/>
        <v>0.91579403891396749</v>
      </c>
      <c r="E32" s="118">
        <f t="shared" ca="1" si="3"/>
        <v>0.92060277841688887</v>
      </c>
      <c r="F32" s="118">
        <f t="shared" ca="1" si="2"/>
        <v>4.8087395029213775E-3</v>
      </c>
      <c r="G32" s="118"/>
    </row>
    <row r="33" spans="1:7">
      <c r="A33" s="117">
        <v>25</v>
      </c>
      <c r="B33" s="117">
        <v>1</v>
      </c>
      <c r="C33" s="118">
        <f t="shared" si="0"/>
        <v>0.99697768545096377</v>
      </c>
      <c r="D33" s="118">
        <f t="shared" si="1"/>
        <v>0.92338083169173568</v>
      </c>
      <c r="E33" s="118">
        <f t="shared" ca="1" si="3"/>
        <v>0.92376072343999482</v>
      </c>
      <c r="F33" s="118">
        <f t="shared" ca="1" si="2"/>
        <v>3.798917482591424E-4</v>
      </c>
      <c r="G33" s="118"/>
    </row>
    <row r="34" spans="1:7">
      <c r="A34" s="117">
        <v>26</v>
      </c>
      <c r="B34" s="117">
        <v>1</v>
      </c>
      <c r="C34" s="118">
        <f t="shared" si="0"/>
        <v>0.99758214836077097</v>
      </c>
      <c r="D34" s="118">
        <f t="shared" si="1"/>
        <v>0.93028406924478546</v>
      </c>
      <c r="E34" s="118">
        <f t="shared" ca="1" si="3"/>
        <v>0.92889534280485031</v>
      </c>
      <c r="F34" s="118">
        <f t="shared" ca="1" si="2"/>
        <v>-1.3887264399351507E-3</v>
      </c>
      <c r="G34" s="118"/>
    </row>
    <row r="35" spans="1:7">
      <c r="A35" s="117">
        <v>27</v>
      </c>
      <c r="B35" s="117">
        <v>1</v>
      </c>
      <c r="C35" s="118">
        <f t="shared" si="0"/>
        <v>0.99806571868861682</v>
      </c>
      <c r="D35" s="118">
        <f t="shared" si="1"/>
        <v>0.93656533856500201</v>
      </c>
      <c r="E35" s="118">
        <f t="shared" ca="1" si="3"/>
        <v>0.93387171562740434</v>
      </c>
      <c r="F35" s="118">
        <f t="shared" ca="1" si="2"/>
        <v>-2.6936229375976728E-3</v>
      </c>
      <c r="G35" s="118"/>
    </row>
    <row r="36" spans="1:7">
      <c r="A36" s="117">
        <v>28</v>
      </c>
      <c r="B36" s="117">
        <v>1</v>
      </c>
      <c r="C36" s="118">
        <f t="shared" si="0"/>
        <v>0.99845257495089346</v>
      </c>
      <c r="D36" s="118">
        <f t="shared" si="1"/>
        <v>0.94228067777648017</v>
      </c>
      <c r="E36" s="118">
        <f t="shared" ca="1" si="3"/>
        <v>0.93811405355423316</v>
      </c>
      <c r="F36" s="118">
        <f t="shared" ca="1" si="2"/>
        <v>-4.1666242222470062E-3</v>
      </c>
      <c r="G36" s="118"/>
    </row>
    <row r="37" spans="1:7">
      <c r="A37" s="117">
        <v>29</v>
      </c>
      <c r="B37" s="117">
        <v>1</v>
      </c>
      <c r="C37" s="118">
        <f t="shared" si="0"/>
        <v>0.99876205996071477</v>
      </c>
      <c r="D37" s="118">
        <f t="shared" si="1"/>
        <v>0.9474810760776845</v>
      </c>
      <c r="E37" s="118">
        <f t="shared" ca="1" si="3"/>
        <v>0.9436716122269051</v>
      </c>
      <c r="F37" s="118">
        <f t="shared" ca="1" si="2"/>
        <v>-3.8094638507794043E-3</v>
      </c>
      <c r="G37" s="118"/>
    </row>
    <row r="38" spans="1:7">
      <c r="A38" s="117">
        <v>30</v>
      </c>
      <c r="B38" s="117">
        <v>1</v>
      </c>
      <c r="C38" s="118">
        <f t="shared" si="0"/>
        <v>0.99900964796857195</v>
      </c>
      <c r="D38" s="118">
        <f t="shared" si="1"/>
        <v>0.95221292863979567</v>
      </c>
      <c r="E38" s="118">
        <f t="shared" ca="1" si="3"/>
        <v>0.94616090886513371</v>
      </c>
      <c r="F38" s="118">
        <f t="shared" ca="1" si="2"/>
        <v>-6.0520197746619653E-3</v>
      </c>
      <c r="G38" s="118"/>
    </row>
    <row r="39" spans="1:7">
      <c r="A39" s="117">
        <v>31</v>
      </c>
      <c r="B39" s="117">
        <v>1</v>
      </c>
      <c r="C39" s="118">
        <f t="shared" si="0"/>
        <v>0.99920771837485756</v>
      </c>
      <c r="D39" s="118">
        <f t="shared" si="1"/>
        <v>0.95651845051960505</v>
      </c>
      <c r="E39" s="118">
        <f t="shared" ca="1" si="3"/>
        <v>0.95299966364153743</v>
      </c>
      <c r="F39" s="118">
        <f t="shared" ca="1" si="2"/>
        <v>-3.5187868780676146E-3</v>
      </c>
      <c r="G39" s="118"/>
    </row>
    <row r="40" spans="1:7">
      <c r="A40" s="117">
        <v>32</v>
      </c>
      <c r="B40" s="117">
        <v>1</v>
      </c>
      <c r="C40" s="118">
        <f t="shared" si="0"/>
        <v>0.99936617469988609</v>
      </c>
      <c r="D40" s="118">
        <f t="shared" si="1"/>
        <v>0.96043605327966353</v>
      </c>
      <c r="E40" s="118">
        <f t="shared" ca="1" si="3"/>
        <v>0.9611251536050589</v>
      </c>
      <c r="F40" s="118">
        <f t="shared" ca="1" si="2"/>
        <v>6.8910032539537536E-4</v>
      </c>
      <c r="G40" s="118"/>
    </row>
    <row r="41" spans="1:7">
      <c r="A41" s="117">
        <v>33</v>
      </c>
      <c r="B41" s="117">
        <v>1</v>
      </c>
      <c r="C41" s="118">
        <f t="shared" si="0"/>
        <v>0.99949293975990883</v>
      </c>
      <c r="D41" s="118">
        <f t="shared" si="1"/>
        <v>0.96400068767569136</v>
      </c>
      <c r="E41" s="118">
        <f t="shared" ca="1" si="3"/>
        <v>0.96054717678642432</v>
      </c>
      <c r="F41" s="118">
        <f t="shared" ca="1" si="2"/>
        <v>-3.4535108892670419E-3</v>
      </c>
      <c r="G41" s="118"/>
    </row>
    <row r="42" spans="1:7">
      <c r="A42" s="117">
        <v>34</v>
      </c>
      <c r="B42" s="117">
        <v>1</v>
      </c>
      <c r="C42" s="118">
        <f t="shared" si="0"/>
        <v>0.99959435180792711</v>
      </c>
      <c r="D42" s="118">
        <f t="shared" si="1"/>
        <v>0.9672441554685195</v>
      </c>
      <c r="E42" s="118">
        <f t="shared" ca="1" si="3"/>
        <v>0.96047777316821059</v>
      </c>
      <c r="F42" s="118">
        <f t="shared" ca="1" si="2"/>
        <v>-6.7663823003089041E-3</v>
      </c>
      <c r="G42" s="118"/>
    </row>
    <row r="43" spans="1:7">
      <c r="A43" s="117">
        <v>35</v>
      </c>
      <c r="B43" s="117">
        <v>1</v>
      </c>
      <c r="C43" s="118">
        <f t="shared" si="0"/>
        <v>0.99967548144634177</v>
      </c>
      <c r="D43" s="118">
        <f t="shared" si="1"/>
        <v>0.9701953931423849</v>
      </c>
      <c r="E43" s="118">
        <f t="shared" ca="1" si="3"/>
        <v>0.9667694575973117</v>
      </c>
      <c r="F43" s="118">
        <f t="shared" ca="1" si="2"/>
        <v>-3.4259355450731999E-3</v>
      </c>
      <c r="G43" s="118"/>
    </row>
    <row r="44" spans="1:7">
      <c r="A44" s="117">
        <v>36</v>
      </c>
      <c r="B44" s="117">
        <v>1</v>
      </c>
      <c r="C44" s="118">
        <f t="shared" si="0"/>
        <v>0.99974038515707342</v>
      </c>
      <c r="D44" s="118">
        <f t="shared" si="1"/>
        <v>0.97288073006075992</v>
      </c>
      <c r="E44" s="118">
        <f t="shared" ca="1" si="3"/>
        <v>0.97086060751147452</v>
      </c>
      <c r="F44" s="118">
        <f t="shared" ca="1" si="2"/>
        <v>-2.020122549285408E-3</v>
      </c>
      <c r="G44" s="118"/>
    </row>
    <row r="45" spans="1:7">
      <c r="A45" s="117">
        <v>37</v>
      </c>
      <c r="B45" s="117">
        <v>1</v>
      </c>
      <c r="C45" s="118">
        <f t="shared" si="0"/>
        <v>0.99979230812565878</v>
      </c>
      <c r="D45" s="118">
        <f t="shared" si="1"/>
        <v>0.97532412336284657</v>
      </c>
      <c r="E45" s="118">
        <f t="shared" ca="1" si="3"/>
        <v>0.96935193811325293</v>
      </c>
      <c r="F45" s="118">
        <f t="shared" ca="1" si="2"/>
        <v>-5.9721852495936423E-3</v>
      </c>
      <c r="G45" s="118"/>
    </row>
    <row r="46" spans="1:7">
      <c r="A46" s="117">
        <v>38</v>
      </c>
      <c r="B46" s="117">
        <v>1</v>
      </c>
      <c r="C46" s="118">
        <f t="shared" si="0"/>
        <v>0.99983384650052698</v>
      </c>
      <c r="D46" s="118">
        <f t="shared" si="1"/>
        <v>0.97754737169635331</v>
      </c>
      <c r="E46" s="118">
        <f t="shared" ca="1" si="3"/>
        <v>0.97296582918972252</v>
      </c>
      <c r="F46" s="118">
        <f t="shared" ca="1" si="2"/>
        <v>-4.5815425066307869E-3</v>
      </c>
      <c r="G46" s="118"/>
    </row>
    <row r="47" spans="1:7">
      <c r="A47" s="117">
        <v>39</v>
      </c>
      <c r="B47" s="117">
        <v>1</v>
      </c>
      <c r="C47" s="118">
        <f t="shared" si="0"/>
        <v>0.99986707720042167</v>
      </c>
      <c r="D47" s="118">
        <f t="shared" si="1"/>
        <v>0.97957030969336734</v>
      </c>
      <c r="E47" s="118">
        <f t="shared" ca="1" si="3"/>
        <v>0.97916426445043836</v>
      </c>
      <c r="F47" s="118">
        <f t="shared" ca="1" si="2"/>
        <v>-4.0604524292897626E-4</v>
      </c>
      <c r="G47" s="118"/>
    </row>
    <row r="48" spans="1:7">
      <c r="A48" s="117">
        <v>40</v>
      </c>
      <c r="B48" s="117">
        <v>1</v>
      </c>
      <c r="C48" s="118">
        <f t="shared" si="0"/>
        <v>0.99989366176033734</v>
      </c>
      <c r="D48" s="118">
        <f t="shared" si="1"/>
        <v>0.98141098492432921</v>
      </c>
      <c r="E48" s="118">
        <f t="shared" ca="1" si="3"/>
        <v>0.97988597916951392</v>
      </c>
      <c r="F48" s="118">
        <f t="shared" ca="1" si="2"/>
        <v>-1.5250057548152895E-3</v>
      </c>
      <c r="G48" s="118"/>
    </row>
    <row r="49" spans="1:7">
      <c r="A49" s="117">
        <v>41</v>
      </c>
      <c r="B49" s="117">
        <v>1</v>
      </c>
      <c r="C49" s="118">
        <f t="shared" si="0"/>
        <v>0.99991492940826987</v>
      </c>
      <c r="D49" s="118">
        <f t="shared" si="1"/>
        <v>0.9830858189088002</v>
      </c>
      <c r="E49" s="118">
        <f t="shared" ca="1" si="3"/>
        <v>0.98130592242818449</v>
      </c>
      <c r="F49" s="118">
        <f t="shared" ca="1" si="2"/>
        <v>-1.7798964806157169E-3</v>
      </c>
      <c r="G49" s="118"/>
    </row>
    <row r="50" spans="1:7">
      <c r="A50" s="117">
        <v>42</v>
      </c>
      <c r="B50" s="117">
        <v>1</v>
      </c>
      <c r="C50" s="118">
        <f t="shared" si="0"/>
        <v>0.99993194352661585</v>
      </c>
      <c r="D50" s="118">
        <f t="shared" si="1"/>
        <v>0.98460975361947323</v>
      </c>
      <c r="E50" s="118">
        <f t="shared" ca="1" si="3"/>
        <v>0.98155288933970219</v>
      </c>
      <c r="F50" s="118">
        <f t="shared" ca="1" si="2"/>
        <v>-3.0568642797710321E-3</v>
      </c>
      <c r="G50" s="118"/>
    </row>
    <row r="51" spans="1:7">
      <c r="A51" s="117">
        <v>43</v>
      </c>
      <c r="B51" s="117">
        <v>1</v>
      </c>
      <c r="C51" s="118">
        <f t="shared" ref="C51:C92" si="4">$K$3*C50+$K$1*B51</f>
        <v>0.99994555482129277</v>
      </c>
      <c r="D51" s="118">
        <f t="shared" si="1"/>
        <v>0.98599638478645868</v>
      </c>
      <c r="E51" s="118">
        <f t="shared" ca="1" si="3"/>
        <v>0.98125846890153967</v>
      </c>
      <c r="F51" s="118">
        <f t="shared" ca="1" si="2"/>
        <v>-4.7379158849190084E-3</v>
      </c>
      <c r="G51" s="118"/>
    </row>
    <row r="52" spans="1:7">
      <c r="A52" s="117">
        <v>44</v>
      </c>
      <c r="B52" s="117">
        <v>1</v>
      </c>
      <c r="C52" s="118">
        <f t="shared" si="4"/>
        <v>0.99995644385703431</v>
      </c>
      <c r="D52" s="118">
        <f t="shared" si="1"/>
        <v>0.9872580831911143</v>
      </c>
      <c r="E52" s="118">
        <f t="shared" ca="1" si="3"/>
        <v>0.98629245211197591</v>
      </c>
      <c r="F52" s="118">
        <f t="shared" ca="1" si="2"/>
        <v>-9.6563107913838486E-4</v>
      </c>
      <c r="G52" s="118"/>
    </row>
    <row r="53" spans="1:7">
      <c r="A53" s="117">
        <v>45</v>
      </c>
      <c r="B53" s="117">
        <v>1</v>
      </c>
      <c r="C53" s="118">
        <f t="shared" si="4"/>
        <v>0.99996515508562744</v>
      </c>
      <c r="D53" s="118">
        <f t="shared" si="1"/>
        <v>0.98840610503153725</v>
      </c>
      <c r="E53" s="118">
        <f t="shared" ca="1" si="3"/>
        <v>0.98604014365239101</v>
      </c>
      <c r="F53" s="118">
        <f t="shared" ca="1" si="2"/>
        <v>-2.3659613791462419E-3</v>
      </c>
      <c r="G53" s="118"/>
    </row>
    <row r="54" spans="1:7">
      <c r="A54" s="117">
        <v>46</v>
      </c>
      <c r="B54" s="117">
        <v>1</v>
      </c>
      <c r="C54" s="118">
        <f t="shared" si="4"/>
        <v>0.999972124068502</v>
      </c>
      <c r="D54" s="118">
        <f t="shared" si="1"/>
        <v>0.98945069234434124</v>
      </c>
      <c r="E54" s="118">
        <f t="shared" ca="1" si="3"/>
        <v>0.98701406235525568</v>
      </c>
      <c r="F54" s="118">
        <f t="shared" ca="1" si="2"/>
        <v>-2.4366299890855592E-3</v>
      </c>
      <c r="G54" s="118"/>
    </row>
    <row r="55" spans="1:7">
      <c r="A55" s="117">
        <v>47</v>
      </c>
      <c r="B55" s="117">
        <v>1</v>
      </c>
      <c r="C55" s="118">
        <f t="shared" si="4"/>
        <v>0.99997769925480173</v>
      </c>
      <c r="D55" s="118">
        <f t="shared" si="1"/>
        <v>0.99040116437862691</v>
      </c>
      <c r="E55" s="118">
        <f t="shared" ca="1" si="3"/>
        <v>0.98823661201686053</v>
      </c>
      <c r="F55" s="118">
        <f t="shared" ca="1" si="2"/>
        <v>-2.1645523617663809E-3</v>
      </c>
      <c r="G55" s="118"/>
    </row>
    <row r="56" spans="1:7">
      <c r="A56" s="117">
        <v>48</v>
      </c>
      <c r="B56" s="117">
        <v>1</v>
      </c>
      <c r="C56" s="118">
        <f t="shared" si="4"/>
        <v>0.99998215940384139</v>
      </c>
      <c r="D56" s="118">
        <f t="shared" si="1"/>
        <v>0.99126600073733584</v>
      </c>
      <c r="E56" s="118">
        <f t="shared" ca="1" si="3"/>
        <v>0.99417715983362365</v>
      </c>
      <c r="F56" s="118">
        <f t="shared" ca="1" si="2"/>
        <v>2.9111590962878076E-3</v>
      </c>
      <c r="G56" s="118"/>
    </row>
    <row r="57" spans="1:7">
      <c r="A57" s="117">
        <v>49</v>
      </c>
      <c r="B57" s="117">
        <v>1</v>
      </c>
      <c r="C57" s="118">
        <f t="shared" si="4"/>
        <v>0.99998572752307324</v>
      </c>
      <c r="D57" s="118">
        <f t="shared" si="1"/>
        <v>0.99205291702773135</v>
      </c>
      <c r="E57" s="118">
        <f t="shared" ca="1" si="3"/>
        <v>0.99273797373217987</v>
      </c>
      <c r="F57" s="118">
        <f t="shared" ca="1" si="2"/>
        <v>6.8505670444851674E-4</v>
      </c>
      <c r="G57" s="118"/>
    </row>
    <row r="58" spans="1:7">
      <c r="A58" s="117">
        <v>50</v>
      </c>
      <c r="B58" s="117">
        <v>1</v>
      </c>
      <c r="C58" s="118">
        <f t="shared" si="4"/>
        <v>0.99998858201845864</v>
      </c>
      <c r="D58" s="118">
        <f t="shared" si="1"/>
        <v>0.99276893369591879</v>
      </c>
      <c r="E58" s="118">
        <f t="shared" ca="1" si="3"/>
        <v>0.99838450343889673</v>
      </c>
      <c r="F58" s="118">
        <f t="shared" ca="1" si="2"/>
        <v>5.6155697429779439E-3</v>
      </c>
      <c r="G58" s="118"/>
    </row>
    <row r="59" spans="1:7">
      <c r="A59" s="117">
        <v>51</v>
      </c>
      <c r="B59" s="117">
        <v>1</v>
      </c>
      <c r="C59" s="118">
        <f t="shared" si="4"/>
        <v>0.99999086561476691</v>
      </c>
      <c r="D59" s="118">
        <f t="shared" si="1"/>
        <v>0.99342043865950835</v>
      </c>
      <c r="E59" s="118">
        <f t="shared" ca="1" si="3"/>
        <v>0.99510633874839383</v>
      </c>
      <c r="F59" s="118">
        <f t="shared" ca="1" si="2"/>
        <v>1.6859000888854725E-3</v>
      </c>
      <c r="G59" s="118"/>
    </row>
    <row r="60" spans="1:7">
      <c r="A60" s="117">
        <v>52</v>
      </c>
      <c r="B60" s="117">
        <v>1</v>
      </c>
      <c r="C60" s="118">
        <f t="shared" si="4"/>
        <v>0.99999269249181366</v>
      </c>
      <c r="D60" s="118">
        <f t="shared" si="1"/>
        <v>0.99401324429719862</v>
      </c>
      <c r="E60" s="118">
        <f t="shared" ca="1" si="3"/>
        <v>0.99964206170316527</v>
      </c>
      <c r="F60" s="118">
        <f t="shared" ca="1" si="2"/>
        <v>5.6288174059666574E-3</v>
      </c>
      <c r="G60" s="118"/>
    </row>
    <row r="61" spans="1:7">
      <c r="A61" s="117">
        <v>53</v>
      </c>
      <c r="B61" s="117">
        <v>1</v>
      </c>
      <c r="C61" s="118">
        <f t="shared" si="4"/>
        <v>0.99999415399345093</v>
      </c>
      <c r="D61" s="118">
        <f t="shared" si="1"/>
        <v>0.99455263930370974</v>
      </c>
      <c r="E61" s="118">
        <f t="shared" ca="1" si="3"/>
        <v>0.99726218546466816</v>
      </c>
      <c r="F61" s="118">
        <f t="shared" ca="1" si="2"/>
        <v>2.7095461609584204E-3</v>
      </c>
      <c r="G61" s="118"/>
    </row>
    <row r="62" spans="1:7">
      <c r="A62" s="117">
        <v>54</v>
      </c>
      <c r="B62" s="117">
        <v>1</v>
      </c>
      <c r="C62" s="118">
        <f t="shared" si="4"/>
        <v>0.9999953231947607</v>
      </c>
      <c r="D62" s="118">
        <f t="shared" si="1"/>
        <v>0.99504343587268773</v>
      </c>
      <c r="E62" s="118">
        <f t="shared" ca="1" si="3"/>
        <v>0.99789476397934096</v>
      </c>
      <c r="F62" s="118">
        <f t="shared" ca="1" si="2"/>
        <v>2.8513281066532281E-3</v>
      </c>
      <c r="G62" s="118"/>
    </row>
    <row r="63" spans="1:7">
      <c r="A63" s="117">
        <v>55</v>
      </c>
      <c r="B63" s="117">
        <v>1</v>
      </c>
      <c r="C63" s="118">
        <f t="shared" si="4"/>
        <v>0.99999625855580865</v>
      </c>
      <c r="D63" s="118">
        <f t="shared" si="1"/>
        <v>0.99549001262852121</v>
      </c>
      <c r="E63" s="118">
        <f t="shared" ca="1" si="3"/>
        <v>0.99696275806969492</v>
      </c>
      <c r="F63" s="118">
        <f t="shared" ca="1" si="2"/>
        <v>1.4727454411737062E-3</v>
      </c>
      <c r="G63" s="118"/>
    </row>
    <row r="64" spans="1:7">
      <c r="A64" s="117">
        <v>56</v>
      </c>
      <c r="B64" s="117">
        <v>1</v>
      </c>
      <c r="C64" s="118">
        <f t="shared" si="4"/>
        <v>0.99999700684464687</v>
      </c>
      <c r="D64" s="118">
        <f t="shared" si="1"/>
        <v>0.99589635369008589</v>
      </c>
      <c r="E64" s="118">
        <f t="shared" ca="1" si="3"/>
        <v>1.0020303301714582</v>
      </c>
      <c r="F64" s="118">
        <f t="shared" ca="1" si="2"/>
        <v>6.1339764813722608E-3</v>
      </c>
      <c r="G64" s="118"/>
    </row>
    <row r="65" spans="1:7">
      <c r="A65" s="117">
        <v>57</v>
      </c>
      <c r="B65" s="117">
        <v>1</v>
      </c>
      <c r="C65" s="118">
        <f t="shared" si="4"/>
        <v>0.99999760547571759</v>
      </c>
      <c r="D65" s="118">
        <f t="shared" si="1"/>
        <v>0.99626608421492102</v>
      </c>
      <c r="E65" s="118">
        <f t="shared" ca="1" si="3"/>
        <v>1.0005276572668937</v>
      </c>
      <c r="F65" s="118">
        <f t="shared" ca="1" si="2"/>
        <v>4.2615730519727224E-3</v>
      </c>
      <c r="G65" s="118"/>
    </row>
    <row r="66" spans="1:7">
      <c r="A66" s="117">
        <v>58</v>
      </c>
      <c r="B66" s="117">
        <v>1</v>
      </c>
      <c r="C66" s="118">
        <f t="shared" si="4"/>
        <v>0.99999808438057403</v>
      </c>
      <c r="D66" s="118">
        <f t="shared" si="1"/>
        <v>0.99660250274094542</v>
      </c>
      <c r="E66" s="118">
        <f t="shared" ca="1" si="3"/>
        <v>1.0008666434581508</v>
      </c>
      <c r="F66" s="118">
        <f t="shared" ca="1" si="2"/>
        <v>4.264140717205378E-3</v>
      </c>
      <c r="G66" s="118"/>
    </row>
    <row r="67" spans="1:7">
      <c r="A67" s="117">
        <v>59</v>
      </c>
      <c r="B67" s="117">
        <v>1</v>
      </c>
      <c r="C67" s="118">
        <f t="shared" si="4"/>
        <v>0.99999846750445931</v>
      </c>
      <c r="D67" s="118">
        <f t="shared" si="1"/>
        <v>0.99690861061424851</v>
      </c>
      <c r="E67" s="118">
        <f t="shared" ca="1" si="3"/>
        <v>0.99912659777955737</v>
      </c>
      <c r="F67" s="118">
        <f t="shared" ca="1" si="2"/>
        <v>2.2179871653088545E-3</v>
      </c>
      <c r="G67" s="118"/>
    </row>
    <row r="68" spans="1:7">
      <c r="A68" s="117">
        <v>60</v>
      </c>
      <c r="B68" s="117">
        <v>1</v>
      </c>
      <c r="C68" s="118">
        <f t="shared" si="4"/>
        <v>0.9999987740035674</v>
      </c>
      <c r="D68" s="118">
        <f t="shared" si="1"/>
        <v>0.99718713876549347</v>
      </c>
      <c r="E68" s="118">
        <f t="shared" ca="1" si="3"/>
        <v>0.99877192108523216</v>
      </c>
      <c r="F68" s="118">
        <f t="shared" ca="1" si="2"/>
        <v>1.5847823197386868E-3</v>
      </c>
      <c r="G68" s="118"/>
    </row>
    <row r="69" spans="1:7">
      <c r="A69" s="117">
        <v>61</v>
      </c>
      <c r="B69" s="117">
        <v>1</v>
      </c>
      <c r="C69" s="118">
        <f t="shared" si="4"/>
        <v>0.99999901920285406</v>
      </c>
      <c r="D69" s="118">
        <f t="shared" si="1"/>
        <v>0.99744057207381964</v>
      </c>
      <c r="E69" s="118">
        <f t="shared" ca="1" si="3"/>
        <v>0.99693435278572784</v>
      </c>
      <c r="F69" s="118">
        <f t="shared" ca="1" si="2"/>
        <v>-5.0621928809180261E-4</v>
      </c>
      <c r="G69" s="118"/>
    </row>
    <row r="70" spans="1:7">
      <c r="A70" s="117">
        <v>62</v>
      </c>
      <c r="B70" s="117">
        <v>1</v>
      </c>
      <c r="C70" s="118">
        <f t="shared" si="4"/>
        <v>0.9999992153622832</v>
      </c>
      <c r="D70" s="118">
        <f t="shared" si="1"/>
        <v>0.99767117153560514</v>
      </c>
      <c r="E70" s="118">
        <f t="shared" ca="1" si="3"/>
        <v>0.99892445713418521</v>
      </c>
      <c r="F70" s="118">
        <f t="shared" ca="1" si="2"/>
        <v>1.2532855985800673E-3</v>
      </c>
      <c r="G70" s="118"/>
    </row>
    <row r="71" spans="1:7">
      <c r="A71" s="117">
        <v>63</v>
      </c>
      <c r="B71" s="117">
        <v>1</v>
      </c>
      <c r="C71" s="118">
        <f t="shared" si="4"/>
        <v>0.9999993722898266</v>
      </c>
      <c r="D71" s="118">
        <f t="shared" si="1"/>
        <v>0.99788099443586609</v>
      </c>
      <c r="E71" s="118">
        <f t="shared" ca="1" si="3"/>
        <v>0.9963021910969232</v>
      </c>
      <c r="F71" s="118">
        <f t="shared" ca="1" si="2"/>
        <v>-1.5788033389428913E-3</v>
      </c>
      <c r="G71" s="118"/>
    </row>
    <row r="72" spans="1:7">
      <c r="A72" s="117">
        <v>64</v>
      </c>
      <c r="B72" s="117">
        <v>1</v>
      </c>
      <c r="C72" s="118">
        <f t="shared" si="4"/>
        <v>0.99999949783186137</v>
      </c>
      <c r="D72" s="118">
        <f t="shared" si="1"/>
        <v>0.99807191270225337</v>
      </c>
      <c r="E72" s="118">
        <f t="shared" ca="1" si="3"/>
        <v>0.99422326424043339</v>
      </c>
      <c r="F72" s="118">
        <f t="shared" ca="1" si="2"/>
        <v>-3.8486484618199812E-3</v>
      </c>
      <c r="G72" s="118"/>
    </row>
    <row r="73" spans="1:7">
      <c r="A73" s="117">
        <v>65</v>
      </c>
      <c r="B73" s="117">
        <v>1</v>
      </c>
      <c r="C73" s="118">
        <f t="shared" si="4"/>
        <v>0.99999959826548923</v>
      </c>
      <c r="D73" s="118">
        <f t="shared" ref="D73:D92" si="5">$K$3*D72+$K$4*D71+$K$1*B73+$K$2*B72</f>
        <v>0.99824562960538932</v>
      </c>
      <c r="E73" s="118">
        <f t="shared" ref="E73:E92" ca="1" si="6">$K$3*E72+$K$4*E71+$K$1*B73+$K$2*B72+ $N$1*(RAND()-0.5)</f>
        <v>0.99556180304759745</v>
      </c>
      <c r="F73" s="118">
        <f t="shared" ref="F73:F92" ca="1" si="7">E73-D73</f>
        <v>-2.6838265577918685E-3</v>
      </c>
      <c r="G73" s="118"/>
    </row>
    <row r="74" spans="1:7">
      <c r="A74" s="117">
        <v>66</v>
      </c>
      <c r="B74" s="117">
        <v>1</v>
      </c>
      <c r="C74" s="118">
        <f t="shared" si="4"/>
        <v>0.99999967861239147</v>
      </c>
      <c r="D74" s="118">
        <f t="shared" si="5"/>
        <v>0.99840369495453685</v>
      </c>
      <c r="E74" s="118">
        <f t="shared" ca="1" si="6"/>
        <v>0.99710779555176221</v>
      </c>
      <c r="F74" s="118">
        <f t="shared" ca="1" si="7"/>
        <v>-1.2958994027746362E-3</v>
      </c>
      <c r="G74" s="118"/>
    </row>
    <row r="75" spans="1:7">
      <c r="A75" s="117">
        <v>67</v>
      </c>
      <c r="B75" s="117">
        <v>1</v>
      </c>
      <c r="C75" s="118">
        <f t="shared" si="4"/>
        <v>0.99999974288991322</v>
      </c>
      <c r="D75" s="118">
        <f t="shared" si="5"/>
        <v>0.99854751892416849</v>
      </c>
      <c r="E75" s="118">
        <f t="shared" ca="1" si="6"/>
        <v>0.99938367929307292</v>
      </c>
      <c r="F75" s="118">
        <f t="shared" ca="1" si="7"/>
        <v>8.3616036890443723E-4</v>
      </c>
      <c r="G75" s="118"/>
    </row>
    <row r="76" spans="1:7">
      <c r="A76" s="117">
        <v>68</v>
      </c>
      <c r="B76" s="117">
        <v>1</v>
      </c>
      <c r="C76" s="118">
        <f t="shared" si="4"/>
        <v>0.99999979431193053</v>
      </c>
      <c r="D76" s="118">
        <f t="shared" si="5"/>
        <v>0.99867838463478853</v>
      </c>
      <c r="E76" s="118">
        <f t="shared" ca="1" si="6"/>
        <v>1.0009358793462759</v>
      </c>
      <c r="F76" s="118">
        <f t="shared" ca="1" si="7"/>
        <v>2.2574947114873956E-3</v>
      </c>
      <c r="G76" s="118"/>
    </row>
    <row r="77" spans="1:7">
      <c r="A77" s="117">
        <v>69</v>
      </c>
      <c r="B77" s="117">
        <v>1</v>
      </c>
      <c r="C77" s="118">
        <f t="shared" si="4"/>
        <v>0.99999983544954452</v>
      </c>
      <c r="D77" s="118">
        <f t="shared" si="5"/>
        <v>0.99879745960024768</v>
      </c>
      <c r="E77" s="118">
        <f t="shared" ca="1" si="6"/>
        <v>0.9990074972459887</v>
      </c>
      <c r="F77" s="118">
        <f t="shared" ca="1" si="7"/>
        <v>2.1003764574101247E-4</v>
      </c>
      <c r="G77" s="118"/>
    </row>
    <row r="78" spans="1:7">
      <c r="A78" s="117">
        <v>70</v>
      </c>
      <c r="B78" s="117">
        <v>1</v>
      </c>
      <c r="C78" s="118">
        <f t="shared" si="4"/>
        <v>0.99999986835963561</v>
      </c>
      <c r="D78" s="118">
        <f t="shared" si="5"/>
        <v>0.99890580614367697</v>
      </c>
      <c r="E78" s="118">
        <f t="shared" ca="1" si="6"/>
        <v>0.99849313724144084</v>
      </c>
      <c r="F78" s="118">
        <f t="shared" ca="1" si="7"/>
        <v>-4.1266890223612407E-4</v>
      </c>
      <c r="G78" s="118"/>
    </row>
    <row r="79" spans="1:7">
      <c r="A79" s="117">
        <v>71</v>
      </c>
      <c r="B79" s="117">
        <v>1</v>
      </c>
      <c r="C79" s="118">
        <f t="shared" si="4"/>
        <v>0.99999989468770845</v>
      </c>
      <c r="D79" s="118">
        <f t="shared" si="5"/>
        <v>0.99900439087496651</v>
      </c>
      <c r="E79" s="118">
        <f t="shared" ca="1" si="6"/>
        <v>0.99578471089691734</v>
      </c>
      <c r="F79" s="118">
        <f t="shared" ca="1" si="7"/>
        <v>-3.2196799780491725E-3</v>
      </c>
      <c r="G79" s="118"/>
    </row>
    <row r="80" spans="1:7">
      <c r="A80" s="117">
        <v>72</v>
      </c>
      <c r="B80" s="117">
        <v>1</v>
      </c>
      <c r="C80" s="118">
        <f t="shared" si="4"/>
        <v>0.99999991575016689</v>
      </c>
      <c r="D80" s="118">
        <f t="shared" si="5"/>
        <v>0.99909409331434096</v>
      </c>
      <c r="E80" s="118">
        <f t="shared" ca="1" si="6"/>
        <v>0.99945232659614669</v>
      </c>
      <c r="F80" s="118">
        <f t="shared" ca="1" si="7"/>
        <v>3.58233281805731E-4</v>
      </c>
      <c r="G80" s="118"/>
    </row>
    <row r="81" spans="1:7">
      <c r="A81" s="117">
        <v>73</v>
      </c>
      <c r="B81" s="117">
        <v>1</v>
      </c>
      <c r="C81" s="118">
        <f t="shared" si="4"/>
        <v>0.99999993260013365</v>
      </c>
      <c r="D81" s="118">
        <f t="shared" si="5"/>
        <v>0.99917571373896952</v>
      </c>
      <c r="E81" s="118">
        <f t="shared" ca="1" si="6"/>
        <v>0.9946347151194076</v>
      </c>
      <c r="F81" s="118">
        <f t="shared" ca="1" si="7"/>
        <v>-4.5409986195619201E-3</v>
      </c>
      <c r="G81" s="118"/>
    </row>
    <row r="82" spans="1:7">
      <c r="A82" s="117">
        <v>74</v>
      </c>
      <c r="B82" s="117">
        <v>1</v>
      </c>
      <c r="C82" s="118">
        <f t="shared" si="4"/>
        <v>0.99999994608010701</v>
      </c>
      <c r="D82" s="118">
        <f t="shared" si="5"/>
        <v>0.9992499803226097</v>
      </c>
      <c r="E82" s="118">
        <f t="shared" ca="1" si="6"/>
        <v>0.99787678910970234</v>
      </c>
      <c r="F82" s="118">
        <f t="shared" ca="1" si="7"/>
        <v>-1.3731912129073542E-3</v>
      </c>
      <c r="G82" s="118"/>
    </row>
    <row r="83" spans="1:7">
      <c r="A83" s="117">
        <v>75</v>
      </c>
      <c r="B83" s="117">
        <v>1</v>
      </c>
      <c r="C83" s="118">
        <f t="shared" si="4"/>
        <v>0.9999999568640856</v>
      </c>
      <c r="D83" s="118">
        <f t="shared" si="5"/>
        <v>0.99931755563198477</v>
      </c>
      <c r="E83" s="118">
        <f t="shared" ca="1" si="6"/>
        <v>1.0023250887798163</v>
      </c>
      <c r="F83" s="118">
        <f t="shared" ca="1" si="7"/>
        <v>3.0075331478315315E-3</v>
      </c>
      <c r="G83" s="118"/>
    </row>
    <row r="84" spans="1:7">
      <c r="A84" s="117">
        <v>76</v>
      </c>
      <c r="B84" s="117">
        <v>1</v>
      </c>
      <c r="C84" s="118">
        <f t="shared" si="4"/>
        <v>0.99999996549126857</v>
      </c>
      <c r="D84" s="118">
        <f t="shared" si="5"/>
        <v>0.99937904253784893</v>
      </c>
      <c r="E84" s="118">
        <f t="shared" ca="1" si="6"/>
        <v>1.0016812598498466</v>
      </c>
      <c r="F84" s="118">
        <f t="shared" ca="1" si="7"/>
        <v>2.3022173119976452E-3</v>
      </c>
      <c r="G84" s="118"/>
    </row>
    <row r="85" spans="1:7">
      <c r="A85" s="117">
        <v>77</v>
      </c>
      <c r="B85" s="117">
        <v>1</v>
      </c>
      <c r="C85" s="118">
        <f t="shared" si="4"/>
        <v>0.99999997239301486</v>
      </c>
      <c r="D85" s="118">
        <f t="shared" si="5"/>
        <v>0.99943498959347765</v>
      </c>
      <c r="E85" s="118">
        <f t="shared" ca="1" si="6"/>
        <v>1.0050333283223432</v>
      </c>
      <c r="F85" s="118">
        <f t="shared" ca="1" si="7"/>
        <v>5.598338728865504E-3</v>
      </c>
      <c r="G85" s="118"/>
    </row>
    <row r="86" spans="1:7">
      <c r="A86" s="117">
        <v>78</v>
      </c>
      <c r="B86" s="117">
        <v>1</v>
      </c>
      <c r="C86" s="118">
        <f t="shared" si="4"/>
        <v>0.99999997791441197</v>
      </c>
      <c r="D86" s="118">
        <f t="shared" si="5"/>
        <v>0.99948589592856718</v>
      </c>
      <c r="E86" s="118">
        <f t="shared" ca="1" si="6"/>
        <v>1.0061230446316907</v>
      </c>
      <c r="F86" s="118">
        <f t="shared" ca="1" si="7"/>
        <v>6.6371487031234855E-3</v>
      </c>
      <c r="G86" s="118"/>
    </row>
    <row r="87" spans="1:7">
      <c r="A87" s="117">
        <v>79</v>
      </c>
      <c r="B87" s="117">
        <v>1</v>
      </c>
      <c r="C87" s="118">
        <f t="shared" si="4"/>
        <v>0.99999998233152954</v>
      </c>
      <c r="D87" s="118">
        <f t="shared" si="5"/>
        <v>0.99953221570220163</v>
      </c>
      <c r="E87" s="118">
        <f t="shared" ca="1" si="6"/>
        <v>1.0033956041826393</v>
      </c>
      <c r="F87" s="118">
        <f t="shared" ca="1" si="7"/>
        <v>3.8633884804376573E-3</v>
      </c>
      <c r="G87" s="118"/>
    </row>
    <row r="88" spans="1:7">
      <c r="A88" s="117">
        <v>80</v>
      </c>
      <c r="B88" s="117">
        <v>1</v>
      </c>
      <c r="C88" s="118">
        <f t="shared" si="4"/>
        <v>0.99999998586522376</v>
      </c>
      <c r="D88" s="118">
        <f t="shared" si="5"/>
        <v>0.99957436215461815</v>
      </c>
      <c r="E88" s="118">
        <f t="shared" ca="1" si="6"/>
        <v>1.0028213923036149</v>
      </c>
      <c r="F88" s="118">
        <f t="shared" ca="1" si="7"/>
        <v>3.2470301489967435E-3</v>
      </c>
      <c r="G88" s="118"/>
    </row>
    <row r="89" spans="1:7">
      <c r="A89" s="117">
        <v>81</v>
      </c>
      <c r="B89" s="117">
        <v>1</v>
      </c>
      <c r="C89" s="118">
        <f t="shared" si="4"/>
        <v>0.9999999886921791</v>
      </c>
      <c r="D89" s="118">
        <f t="shared" si="5"/>
        <v>0.99961271129391471</v>
      </c>
      <c r="E89" s="118">
        <f t="shared" ca="1" si="6"/>
        <v>1.0034464378448866</v>
      </c>
      <c r="F89" s="118">
        <f t="shared" ca="1" si="7"/>
        <v>3.8337265509719165E-3</v>
      </c>
      <c r="G89" s="118"/>
    </row>
    <row r="90" spans="1:7">
      <c r="A90" s="117">
        <v>82</v>
      </c>
      <c r="B90" s="117">
        <v>1</v>
      </c>
      <c r="C90" s="118">
        <f t="shared" si="4"/>
        <v>0.99999999095374337</v>
      </c>
      <c r="D90" s="118">
        <f t="shared" si="5"/>
        <v>0.99964760525059371</v>
      </c>
      <c r="E90" s="118">
        <f t="shared" ca="1" si="6"/>
        <v>1.0019148684304282</v>
      </c>
      <c r="F90" s="118">
        <f t="shared" ca="1" si="7"/>
        <v>2.2672631798345E-3</v>
      </c>
      <c r="G90" s="118"/>
    </row>
    <row r="91" spans="1:7">
      <c r="A91" s="117">
        <v>83</v>
      </c>
      <c r="B91" s="117">
        <v>1</v>
      </c>
      <c r="C91" s="118">
        <f t="shared" si="4"/>
        <v>0.99999999276299478</v>
      </c>
      <c r="D91" s="118">
        <f t="shared" si="5"/>
        <v>0.99967935532986651</v>
      </c>
      <c r="E91" s="118">
        <f t="shared" ca="1" si="6"/>
        <v>1.0062833038013781</v>
      </c>
      <c r="F91" s="118">
        <f t="shared" ca="1" si="7"/>
        <v>6.6039484715115782E-3</v>
      </c>
      <c r="G91" s="118"/>
    </row>
    <row r="92" spans="1:7">
      <c r="A92" s="117">
        <v>84</v>
      </c>
      <c r="B92" s="117">
        <v>1</v>
      </c>
      <c r="C92" s="118">
        <f t="shared" si="4"/>
        <v>0.99999999421039587</v>
      </c>
      <c r="D92" s="118">
        <f t="shared" si="5"/>
        <v>0.99970824478895259</v>
      </c>
      <c r="E92" s="118">
        <f t="shared" ca="1" si="6"/>
        <v>1.0008108264505438</v>
      </c>
      <c r="F92" s="118">
        <f t="shared" ca="1" si="7"/>
        <v>1.1025816615911621E-3</v>
      </c>
      <c r="G92" s="118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workbookViewId="0">
      <selection activeCell="K11" sqref="K11"/>
    </sheetView>
  </sheetViews>
  <sheetFormatPr baseColWidth="10" defaultRowHeight="15" x14ac:dyDescent="0"/>
  <cols>
    <col min="4" max="4" width="13" customWidth="1"/>
    <col min="5" max="5" width="14.6640625" customWidth="1"/>
    <col min="6" max="7" width="13" customWidth="1"/>
    <col min="10" max="11" width="11.83203125" customWidth="1"/>
    <col min="12" max="12" width="12.1640625" bestFit="1" customWidth="1"/>
  </cols>
  <sheetData>
    <row r="1" spans="1:14">
      <c r="A1" t="s">
        <v>386</v>
      </c>
      <c r="G1" t="s">
        <v>395</v>
      </c>
      <c r="J1" t="s">
        <v>388</v>
      </c>
      <c r="K1" t="s">
        <v>398</v>
      </c>
    </row>
    <row r="2" spans="1:14">
      <c r="G2" t="s">
        <v>396</v>
      </c>
      <c r="K2" t="s">
        <v>409</v>
      </c>
    </row>
    <row r="3" spans="1:14">
      <c r="A3" t="s">
        <v>393</v>
      </c>
      <c r="B3" s="145">
        <v>120</v>
      </c>
      <c r="C3" t="s">
        <v>387</v>
      </c>
      <c r="G3" t="s">
        <v>397</v>
      </c>
      <c r="K3" s="201"/>
    </row>
    <row r="4" spans="1:14">
      <c r="A4" t="s">
        <v>293</v>
      </c>
      <c r="B4" s="145">
        <v>50</v>
      </c>
      <c r="C4" t="s">
        <v>35</v>
      </c>
      <c r="D4" s="57"/>
      <c r="K4" t="s">
        <v>405</v>
      </c>
      <c r="L4">
        <f>1/(1+B10/B9)</f>
        <v>0.66666666666666663</v>
      </c>
    </row>
    <row r="5" spans="1:14">
      <c r="A5" t="s">
        <v>401</v>
      </c>
      <c r="B5" s="201">
        <f>1000000*B3/(2*PI()*B4)</f>
        <v>381971.86342054879</v>
      </c>
      <c r="C5" t="s">
        <v>32</v>
      </c>
      <c r="D5" s="201"/>
      <c r="E5" s="201"/>
      <c r="F5" s="201"/>
      <c r="G5" s="201"/>
      <c r="K5" t="s">
        <v>406</v>
      </c>
      <c r="L5">
        <f>B8*B10*1000000</f>
        <v>100000</v>
      </c>
    </row>
    <row r="6" spans="1:14">
      <c r="A6" t="s">
        <v>411</v>
      </c>
      <c r="B6" s="145">
        <v>2000</v>
      </c>
      <c r="C6" t="s">
        <v>2</v>
      </c>
      <c r="D6" s="131"/>
      <c r="E6" s="131"/>
      <c r="F6" s="131"/>
      <c r="G6" s="131"/>
      <c r="K6" t="s">
        <v>410</v>
      </c>
      <c r="L6">
        <f>B10/(B6*B4*2*PI())</f>
        <v>1.5915494309189535E-6</v>
      </c>
    </row>
    <row r="7" spans="1:14">
      <c r="A7" t="s">
        <v>403</v>
      </c>
      <c r="B7" s="145">
        <v>600</v>
      </c>
      <c r="C7" t="s">
        <v>259</v>
      </c>
      <c r="D7" s="131"/>
      <c r="E7" s="131"/>
      <c r="F7" s="131"/>
      <c r="G7" s="131"/>
      <c r="K7" t="s">
        <v>408</v>
      </c>
      <c r="L7">
        <f>B5*B10/B6</f>
        <v>190.9859317102744</v>
      </c>
    </row>
    <row r="8" spans="1:14" ht="16" thickBot="1">
      <c r="A8" t="s">
        <v>399</v>
      </c>
      <c r="B8" s="145">
        <v>0.1</v>
      </c>
      <c r="C8" t="s">
        <v>402</v>
      </c>
      <c r="D8" s="131"/>
      <c r="E8" s="131"/>
      <c r="F8" s="131"/>
      <c r="G8" s="131"/>
    </row>
    <row r="9" spans="1:14">
      <c r="A9" t="s">
        <v>400</v>
      </c>
      <c r="B9" s="145">
        <v>2</v>
      </c>
      <c r="C9" t="s">
        <v>34</v>
      </c>
      <c r="D9" s="131"/>
      <c r="E9" s="131"/>
      <c r="F9" s="131"/>
      <c r="G9" s="131"/>
      <c r="J9" s="2" t="s">
        <v>291</v>
      </c>
      <c r="K9" s="3"/>
      <c r="L9" s="4"/>
    </row>
    <row r="10" spans="1:14" ht="16" thickBot="1">
      <c r="A10" t="s">
        <v>210</v>
      </c>
      <c r="B10" s="145">
        <v>1</v>
      </c>
      <c r="C10" t="s">
        <v>34</v>
      </c>
      <c r="J10" s="8" t="s">
        <v>392</v>
      </c>
      <c r="K10" s="109">
        <v>6</v>
      </c>
      <c r="L10" s="11" t="s">
        <v>394</v>
      </c>
    </row>
    <row r="11" spans="1:14">
      <c r="A11" t="s">
        <v>391</v>
      </c>
      <c r="B11" s="145">
        <v>1.2</v>
      </c>
      <c r="C11" t="s">
        <v>387</v>
      </c>
    </row>
    <row r="13" spans="1:14">
      <c r="A13" s="64" t="s">
        <v>17</v>
      </c>
      <c r="B13" s="64" t="s">
        <v>389</v>
      </c>
      <c r="C13" s="64" t="s">
        <v>390</v>
      </c>
      <c r="D13" s="64" t="s">
        <v>404</v>
      </c>
      <c r="E13" s="64" t="s">
        <v>413</v>
      </c>
      <c r="F13" s="64" t="s">
        <v>407</v>
      </c>
      <c r="G13" s="204" t="s">
        <v>412</v>
      </c>
      <c r="H13" s="64" t="s">
        <v>209</v>
      </c>
      <c r="I13" s="64" t="s">
        <v>416</v>
      </c>
      <c r="J13" s="64" t="s">
        <v>64</v>
      </c>
      <c r="K13" s="64" t="s">
        <v>414</v>
      </c>
      <c r="L13" s="64" t="s">
        <v>415</v>
      </c>
      <c r="M13" s="64"/>
      <c r="N13" s="64"/>
    </row>
    <row r="14" spans="1:14">
      <c r="A14" s="148">
        <v>-1</v>
      </c>
      <c r="B14" s="148">
        <f>B7</f>
        <v>600</v>
      </c>
      <c r="C14" s="145"/>
      <c r="D14" s="148">
        <f>B3*1000000</f>
        <v>120000000</v>
      </c>
      <c r="E14" s="148"/>
      <c r="F14" s="148"/>
      <c r="G14" s="148">
        <f>D14/1000000</f>
        <v>120</v>
      </c>
      <c r="H14" s="148">
        <v>314.16000000000003</v>
      </c>
      <c r="I14" s="148">
        <v>0</v>
      </c>
      <c r="J14" s="156">
        <f>I14/(2*PI())</f>
        <v>0</v>
      </c>
      <c r="K14" s="64"/>
      <c r="L14" s="64"/>
    </row>
    <row r="15" spans="1:14">
      <c r="A15" s="117">
        <v>0</v>
      </c>
      <c r="B15" s="202">
        <f>$B$7+$K$10*J14</f>
        <v>600</v>
      </c>
      <c r="C15" s="117">
        <v>0</v>
      </c>
      <c r="D15" s="117">
        <f t="shared" ref="D15:D46" si="0">$L$4*($L$5*B15+D14)</f>
        <v>120000000</v>
      </c>
      <c r="E15" s="117">
        <f>$L$6*D15</f>
        <v>190.98593171027443</v>
      </c>
      <c r="F15" s="117">
        <f>- $L$7-C15*$L$6</f>
        <v>-190.9859317102744</v>
      </c>
      <c r="G15" s="117">
        <f>D15/1000000</f>
        <v>120</v>
      </c>
      <c r="H15" s="103">
        <f>$L$6*D15 - $L$7 +H14 - C15*$B$10/(2*PI()*$B$4*$B$6)</f>
        <v>314.16000000000008</v>
      </c>
      <c r="I15" s="103">
        <f>H15/(2*PI())</f>
        <v>50.000116921749857</v>
      </c>
      <c r="J15" s="144">
        <f>$B$4-I15</f>
        <v>-1.169217498571129E-4</v>
      </c>
      <c r="K15" s="205">
        <f>C15/($B$3*1000000)</f>
        <v>0</v>
      </c>
      <c r="L15" s="205">
        <f>J15/$B$4</f>
        <v>-2.338434997142258E-6</v>
      </c>
      <c r="M15" s="203"/>
      <c r="N15" s="203"/>
    </row>
    <row r="16" spans="1:14">
      <c r="A16" s="117">
        <v>1</v>
      </c>
      <c r="B16" s="202">
        <f t="shared" ref="B16:B79" si="1">$B$7+$K$10*J15</f>
        <v>599.9992984695009</v>
      </c>
      <c r="C16" s="117">
        <v>0</v>
      </c>
      <c r="D16" s="117">
        <f t="shared" si="0"/>
        <v>119999953.23130006</v>
      </c>
      <c r="E16" s="117">
        <f t="shared" ref="E16:E79" si="2">$L$6*D16</f>
        <v>190.98585727557665</v>
      </c>
      <c r="F16" s="117">
        <f t="shared" ref="F16:F79" si="3">- $L$7-C16*$L$6</f>
        <v>-190.9859317102744</v>
      </c>
      <c r="G16" s="117">
        <f t="shared" ref="G16:G79" si="4">D16/1000000</f>
        <v>119.99995323130005</v>
      </c>
      <c r="H16" s="103">
        <f t="shared" ref="H16:H79" si="5">$L$6*D16 - $L$7 +H15 - C16*$B$10/(2*PI()*$B$4*$B$6)</f>
        <v>314.15992556530233</v>
      </c>
      <c r="I16" s="103">
        <f t="shared" ref="I16:I79" si="6">H16/(2*PI())</f>
        <v>50.000105075099768</v>
      </c>
      <c r="J16" s="144">
        <f t="shared" ref="J16:J79" si="7">$B$4-I16</f>
        <v>-1.0507509976775964E-4</v>
      </c>
      <c r="K16" s="205">
        <f t="shared" ref="K16:K79" si="8">C16/($B$3*1000000)</f>
        <v>0</v>
      </c>
      <c r="L16" s="205">
        <f t="shared" ref="L16:L79" si="9">J16/$B$4</f>
        <v>-2.1015019953551929E-6</v>
      </c>
      <c r="M16" s="203"/>
      <c r="N16" s="203"/>
    </row>
    <row r="17" spans="1:14">
      <c r="A17" s="117">
        <v>2</v>
      </c>
      <c r="B17" s="202">
        <f t="shared" si="1"/>
        <v>599.99936954940142</v>
      </c>
      <c r="C17" s="117">
        <v>0</v>
      </c>
      <c r="D17" s="117">
        <f t="shared" si="0"/>
        <v>119999926.7908268</v>
      </c>
      <c r="E17" s="117">
        <f t="shared" si="2"/>
        <v>190.98581519425647</v>
      </c>
      <c r="F17" s="117">
        <f t="shared" si="3"/>
        <v>-190.9859317102744</v>
      </c>
      <c r="G17" s="117">
        <f t="shared" si="4"/>
        <v>119.99992679082679</v>
      </c>
      <c r="H17" s="103">
        <f t="shared" si="5"/>
        <v>314.15980904928438</v>
      </c>
      <c r="I17" s="103">
        <f t="shared" si="6"/>
        <v>50.00008653099956</v>
      </c>
      <c r="J17" s="144">
        <f t="shared" si="7"/>
        <v>-8.6530999560352484E-5</v>
      </c>
      <c r="K17" s="205">
        <f t="shared" si="8"/>
        <v>0</v>
      </c>
      <c r="L17" s="205">
        <f t="shared" si="9"/>
        <v>-1.7306199912070498E-6</v>
      </c>
      <c r="M17" s="203"/>
      <c r="N17" s="203"/>
    </row>
    <row r="18" spans="1:14">
      <c r="A18" s="117">
        <v>3</v>
      </c>
      <c r="B18" s="202">
        <f t="shared" si="1"/>
        <v>599.9994808140026</v>
      </c>
      <c r="C18" s="117">
        <v>0</v>
      </c>
      <c r="D18" s="117">
        <f t="shared" si="0"/>
        <v>119999916.58148471</v>
      </c>
      <c r="E18" s="117">
        <f t="shared" si="2"/>
        <v>190.98579894558387</v>
      </c>
      <c r="F18" s="117">
        <f t="shared" si="3"/>
        <v>-190.9859317102744</v>
      </c>
      <c r="G18" s="117">
        <f t="shared" si="4"/>
        <v>119.99991658148471</v>
      </c>
      <c r="H18" s="103">
        <f t="shared" si="5"/>
        <v>314.15967628459384</v>
      </c>
      <c r="I18" s="103">
        <f t="shared" si="6"/>
        <v>50.000065400842793</v>
      </c>
      <c r="J18" s="144">
        <f t="shared" si="7"/>
        <v>-6.5400842792939784E-5</v>
      </c>
      <c r="K18" s="205">
        <f t="shared" si="8"/>
        <v>0</v>
      </c>
      <c r="L18" s="205">
        <f t="shared" si="9"/>
        <v>-1.3080168558587958E-6</v>
      </c>
      <c r="M18" s="203"/>
      <c r="N18" s="203"/>
    </row>
    <row r="19" spans="1:14">
      <c r="A19" s="117">
        <v>4</v>
      </c>
      <c r="B19" s="202">
        <f t="shared" si="1"/>
        <v>599.9996075949432</v>
      </c>
      <c r="C19" s="117">
        <v>0</v>
      </c>
      <c r="D19" s="117">
        <f t="shared" si="0"/>
        <v>119999918.22731936</v>
      </c>
      <c r="E19" s="117">
        <f t="shared" si="2"/>
        <v>190.98580156501109</v>
      </c>
      <c r="F19" s="117">
        <f t="shared" si="3"/>
        <v>-190.9859317102744</v>
      </c>
      <c r="G19" s="117">
        <f t="shared" si="4"/>
        <v>119.99991822731936</v>
      </c>
      <c r="H19" s="103">
        <f t="shared" si="5"/>
        <v>314.15954613933053</v>
      </c>
      <c r="I19" s="103">
        <f t="shared" si="6"/>
        <v>50.000044687580818</v>
      </c>
      <c r="J19" s="144">
        <f t="shared" si="7"/>
        <v>-4.4687580817992512E-5</v>
      </c>
      <c r="K19" s="205">
        <f t="shared" si="8"/>
        <v>0</v>
      </c>
      <c r="L19" s="205">
        <f t="shared" si="9"/>
        <v>-8.9375161635985025E-7</v>
      </c>
      <c r="M19" s="203"/>
      <c r="N19" s="203"/>
    </row>
    <row r="20" spans="1:14">
      <c r="A20" s="117">
        <v>5</v>
      </c>
      <c r="B20" s="202">
        <f t="shared" si="1"/>
        <v>599.99973187451508</v>
      </c>
      <c r="C20" s="117">
        <v>0</v>
      </c>
      <c r="D20" s="117">
        <f t="shared" si="0"/>
        <v>119999927.60984725</v>
      </c>
      <c r="E20" s="117">
        <f t="shared" si="2"/>
        <v>190.98581649776801</v>
      </c>
      <c r="F20" s="117">
        <f t="shared" si="3"/>
        <v>-190.9859317102744</v>
      </c>
      <c r="G20" s="117">
        <f t="shared" si="4"/>
        <v>119.99992760984725</v>
      </c>
      <c r="H20" s="103">
        <f t="shared" si="5"/>
        <v>314.15943092682414</v>
      </c>
      <c r="I20" s="103">
        <f t="shared" si="6"/>
        <v>50.000026350940921</v>
      </c>
      <c r="J20" s="144">
        <f t="shared" si="7"/>
        <v>-2.6350940920849553E-5</v>
      </c>
      <c r="K20" s="205">
        <f t="shared" si="8"/>
        <v>0</v>
      </c>
      <c r="L20" s="205">
        <f t="shared" si="9"/>
        <v>-5.27018818416991E-7</v>
      </c>
      <c r="M20" s="203"/>
      <c r="N20" s="203"/>
    </row>
    <row r="21" spans="1:14">
      <c r="A21" s="117">
        <v>6</v>
      </c>
      <c r="B21" s="202">
        <f t="shared" si="1"/>
        <v>599.99984189435452</v>
      </c>
      <c r="C21" s="117">
        <v>0</v>
      </c>
      <c r="D21" s="117">
        <f t="shared" si="0"/>
        <v>119999941.19952179</v>
      </c>
      <c r="E21" s="117">
        <f t="shared" si="2"/>
        <v>190.9858381264068</v>
      </c>
      <c r="F21" s="117">
        <f t="shared" si="3"/>
        <v>-190.9859317102744</v>
      </c>
      <c r="G21" s="117">
        <f t="shared" si="4"/>
        <v>119.9999411995218</v>
      </c>
      <c r="H21" s="103">
        <f t="shared" si="5"/>
        <v>314.15933734295652</v>
      </c>
      <c r="I21" s="103">
        <f t="shared" si="6"/>
        <v>50.000011456605797</v>
      </c>
      <c r="J21" s="144">
        <f t="shared" si="7"/>
        <v>-1.1456605797377506E-5</v>
      </c>
      <c r="K21" s="205">
        <f t="shared" si="8"/>
        <v>0</v>
      </c>
      <c r="L21" s="205">
        <f t="shared" si="9"/>
        <v>-2.2913211594755012E-7</v>
      </c>
      <c r="M21" s="203"/>
      <c r="N21" s="203"/>
    </row>
    <row r="22" spans="1:14">
      <c r="A22" s="117">
        <v>7</v>
      </c>
      <c r="B22" s="202">
        <f t="shared" si="1"/>
        <v>599.9999312603652</v>
      </c>
      <c r="C22" s="117">
        <v>0</v>
      </c>
      <c r="D22" s="117">
        <f t="shared" si="0"/>
        <v>119999956.21703887</v>
      </c>
      <c r="E22" s="117">
        <f t="shared" si="2"/>
        <v>190.98586202752756</v>
      </c>
      <c r="F22" s="117">
        <f t="shared" si="3"/>
        <v>-190.9859317102744</v>
      </c>
      <c r="G22" s="117">
        <f t="shared" si="4"/>
        <v>119.99995621703887</v>
      </c>
      <c r="H22" s="103">
        <f t="shared" si="5"/>
        <v>314.15926766020971</v>
      </c>
      <c r="I22" s="103">
        <f t="shared" si="6"/>
        <v>50.000000366252195</v>
      </c>
      <c r="J22" s="144">
        <f t="shared" si="7"/>
        <v>-3.6625219479446969E-7</v>
      </c>
      <c r="K22" s="205">
        <f t="shared" si="8"/>
        <v>0</v>
      </c>
      <c r="L22" s="205">
        <f t="shared" si="9"/>
        <v>-7.325043895889394E-9</v>
      </c>
      <c r="M22" s="203"/>
      <c r="N22" s="203"/>
    </row>
    <row r="23" spans="1:14">
      <c r="A23" s="117">
        <v>8</v>
      </c>
      <c r="B23" s="202">
        <f t="shared" si="1"/>
        <v>599.99999780248686</v>
      </c>
      <c r="C23" s="117">
        <v>0</v>
      </c>
      <c r="D23" s="117">
        <f t="shared" si="0"/>
        <v>119999970.66485837</v>
      </c>
      <c r="E23" s="117">
        <f t="shared" si="2"/>
        <v>190.98588502194647</v>
      </c>
      <c r="F23" s="117">
        <f t="shared" si="3"/>
        <v>-190.9859317102744</v>
      </c>
      <c r="G23" s="117">
        <f t="shared" si="4"/>
        <v>119.99997066485837</v>
      </c>
      <c r="H23" s="103">
        <f t="shared" si="5"/>
        <v>314.15922097188178</v>
      </c>
      <c r="I23" s="103">
        <f t="shared" si="6"/>
        <v>49.999992935574021</v>
      </c>
      <c r="J23" s="144">
        <f t="shared" si="7"/>
        <v>7.064425979308453E-6</v>
      </c>
      <c r="K23" s="205">
        <f t="shared" si="8"/>
        <v>0</v>
      </c>
      <c r="L23" s="205">
        <f t="shared" si="9"/>
        <v>1.4128851958616905E-7</v>
      </c>
      <c r="M23" s="203"/>
      <c r="N23" s="203"/>
    </row>
    <row r="24" spans="1:14">
      <c r="A24" s="117">
        <v>9</v>
      </c>
      <c r="B24" s="202">
        <f t="shared" si="1"/>
        <v>600.00004238655583</v>
      </c>
      <c r="C24" s="117">
        <v>0</v>
      </c>
      <c r="D24" s="117">
        <f t="shared" si="0"/>
        <v>119999983.26900931</v>
      </c>
      <c r="E24" s="117">
        <f t="shared" si="2"/>
        <v>190.9859050820757</v>
      </c>
      <c r="F24" s="117">
        <f t="shared" si="3"/>
        <v>-190.9859317102744</v>
      </c>
      <c r="G24" s="117">
        <f t="shared" si="4"/>
        <v>119.99998326900931</v>
      </c>
      <c r="H24" s="103">
        <f t="shared" si="5"/>
        <v>314.15919434368311</v>
      </c>
      <c r="I24" s="103">
        <f t="shared" si="6"/>
        <v>49.999988697564575</v>
      </c>
      <c r="J24" s="144">
        <f t="shared" si="7"/>
        <v>1.1302435424909163E-5</v>
      </c>
      <c r="K24" s="205">
        <f t="shared" si="8"/>
        <v>0</v>
      </c>
      <c r="L24" s="205">
        <f t="shared" si="9"/>
        <v>2.2604870849818326E-7</v>
      </c>
      <c r="M24" s="203"/>
      <c r="N24" s="203"/>
    </row>
    <row r="25" spans="1:14">
      <c r="A25" s="117">
        <v>10</v>
      </c>
      <c r="B25" s="202">
        <f t="shared" si="1"/>
        <v>600.00006781461252</v>
      </c>
      <c r="C25" s="117">
        <v>0</v>
      </c>
      <c r="D25" s="117">
        <f t="shared" si="0"/>
        <v>119999993.36698037</v>
      </c>
      <c r="E25" s="117">
        <f t="shared" si="2"/>
        <v>190.98592115349581</v>
      </c>
      <c r="F25" s="117">
        <f t="shared" si="3"/>
        <v>-190.9859317102744</v>
      </c>
      <c r="G25" s="117">
        <f t="shared" si="4"/>
        <v>119.99999336698038</v>
      </c>
      <c r="H25" s="103">
        <f t="shared" si="5"/>
        <v>314.15918378690452</v>
      </c>
      <c r="I25" s="103">
        <f t="shared" si="6"/>
        <v>49.999987017401082</v>
      </c>
      <c r="J25" s="144">
        <f t="shared" si="7"/>
        <v>1.2982598917687938E-5</v>
      </c>
      <c r="K25" s="205">
        <f t="shared" si="8"/>
        <v>0</v>
      </c>
      <c r="L25" s="205">
        <f t="shared" si="9"/>
        <v>2.5965197835375876E-7</v>
      </c>
      <c r="M25" s="203"/>
      <c r="N25" s="203"/>
    </row>
    <row r="26" spans="1:14">
      <c r="A26" s="117">
        <v>11</v>
      </c>
      <c r="B26" s="202">
        <f t="shared" si="1"/>
        <v>600.00007789559345</v>
      </c>
      <c r="C26" s="117">
        <v>0</v>
      </c>
      <c r="D26" s="117">
        <f t="shared" si="0"/>
        <v>120000000.77102646</v>
      </c>
      <c r="E26" s="117">
        <f t="shared" si="2"/>
        <v>190.98593293740115</v>
      </c>
      <c r="F26" s="117">
        <f t="shared" si="3"/>
        <v>-190.9859317102744</v>
      </c>
      <c r="G26" s="117">
        <f t="shared" si="4"/>
        <v>120.00000077102646</v>
      </c>
      <c r="H26" s="103">
        <f t="shared" si="5"/>
        <v>314.15918501403127</v>
      </c>
      <c r="I26" s="103">
        <f t="shared" si="6"/>
        <v>49.999987212704369</v>
      </c>
      <c r="J26" s="144">
        <f t="shared" si="7"/>
        <v>1.2787295631255802E-5</v>
      </c>
      <c r="K26" s="205">
        <f t="shared" si="8"/>
        <v>0</v>
      </c>
      <c r="L26" s="205">
        <f t="shared" si="9"/>
        <v>2.5574591262511602E-7</v>
      </c>
      <c r="M26" s="203"/>
      <c r="N26" s="203"/>
    </row>
    <row r="27" spans="1:14">
      <c r="A27" s="117">
        <v>12</v>
      </c>
      <c r="B27" s="202">
        <f t="shared" si="1"/>
        <v>600.00007672377376</v>
      </c>
      <c r="C27" s="117">
        <v>0</v>
      </c>
      <c r="D27" s="117">
        <f t="shared" si="0"/>
        <v>120000005.62893589</v>
      </c>
      <c r="E27" s="117">
        <f t="shared" si="2"/>
        <v>190.98594066900412</v>
      </c>
      <c r="F27" s="117">
        <f t="shared" si="3"/>
        <v>-190.9859317102744</v>
      </c>
      <c r="G27" s="117">
        <f t="shared" si="4"/>
        <v>120.0000056289359</v>
      </c>
      <c r="H27" s="103">
        <f t="shared" si="5"/>
        <v>314.15919397276099</v>
      </c>
      <c r="I27" s="103">
        <f t="shared" si="6"/>
        <v>49.999988638530482</v>
      </c>
      <c r="J27" s="144">
        <f t="shared" si="7"/>
        <v>1.1361469518078593E-5</v>
      </c>
      <c r="K27" s="205">
        <f t="shared" si="8"/>
        <v>0</v>
      </c>
      <c r="L27" s="205">
        <f t="shared" si="9"/>
        <v>2.2722939036157186E-7</v>
      </c>
      <c r="M27" s="203"/>
      <c r="N27" s="203"/>
    </row>
    <row r="28" spans="1:14">
      <c r="A28" s="117">
        <v>13</v>
      </c>
      <c r="B28" s="202">
        <f t="shared" si="1"/>
        <v>600.00006816881705</v>
      </c>
      <c r="C28" s="117">
        <v>0</v>
      </c>
      <c r="D28" s="117">
        <f t="shared" si="0"/>
        <v>120000008.29721172</v>
      </c>
      <c r="E28" s="117">
        <f t="shared" si="2"/>
        <v>190.98594491569702</v>
      </c>
      <c r="F28" s="117">
        <f t="shared" si="3"/>
        <v>-190.9859317102744</v>
      </c>
      <c r="G28" s="117">
        <f t="shared" si="4"/>
        <v>120.00000829721172</v>
      </c>
      <c r="H28" s="103">
        <f t="shared" si="5"/>
        <v>314.15920717818358</v>
      </c>
      <c r="I28" s="103">
        <f t="shared" si="6"/>
        <v>49.999990740238765</v>
      </c>
      <c r="J28" s="144">
        <f t="shared" si="7"/>
        <v>9.2597612351141834E-6</v>
      </c>
      <c r="K28" s="205">
        <f t="shared" si="8"/>
        <v>0</v>
      </c>
      <c r="L28" s="205">
        <f t="shared" si="9"/>
        <v>1.8519522470228368E-7</v>
      </c>
      <c r="M28" s="203"/>
      <c r="N28" s="203"/>
    </row>
    <row r="29" spans="1:14">
      <c r="A29" s="117">
        <v>14</v>
      </c>
      <c r="B29" s="202">
        <f t="shared" si="1"/>
        <v>600.0000555585674</v>
      </c>
      <c r="C29" s="117">
        <v>0</v>
      </c>
      <c r="D29" s="117">
        <f t="shared" si="0"/>
        <v>120000009.23537898</v>
      </c>
      <c r="E29" s="117">
        <f t="shared" si="2"/>
        <v>190.98594640883658</v>
      </c>
      <c r="F29" s="117">
        <f t="shared" si="3"/>
        <v>-190.9859317102744</v>
      </c>
      <c r="G29" s="117">
        <f t="shared" si="4"/>
        <v>120.00000923537898</v>
      </c>
      <c r="H29" s="103">
        <f t="shared" si="5"/>
        <v>314.15922187674573</v>
      </c>
      <c r="I29" s="103">
        <f t="shared" si="6"/>
        <v>49.99999307958759</v>
      </c>
      <c r="J29" s="144">
        <f t="shared" si="7"/>
        <v>6.9204124102384412E-6</v>
      </c>
      <c r="K29" s="205">
        <f t="shared" si="8"/>
        <v>0</v>
      </c>
      <c r="L29" s="205">
        <f t="shared" si="9"/>
        <v>1.3840824820476882E-7</v>
      </c>
      <c r="M29" s="203"/>
      <c r="N29" s="203"/>
    </row>
    <row r="30" spans="1:14">
      <c r="A30" s="117">
        <v>15</v>
      </c>
      <c r="B30" s="202">
        <f t="shared" si="1"/>
        <v>600.00004152247448</v>
      </c>
      <c r="C30" s="117">
        <v>0</v>
      </c>
      <c r="D30" s="117">
        <f t="shared" si="0"/>
        <v>120000008.92508429</v>
      </c>
      <c r="E30" s="117">
        <f t="shared" si="2"/>
        <v>190.98594591498724</v>
      </c>
      <c r="F30" s="117">
        <f t="shared" si="3"/>
        <v>-190.9859317102744</v>
      </c>
      <c r="G30" s="117">
        <f t="shared" si="4"/>
        <v>120.00000892508429</v>
      </c>
      <c r="H30" s="103">
        <f t="shared" si="5"/>
        <v>314.15923608145857</v>
      </c>
      <c r="I30" s="103">
        <f t="shared" si="6"/>
        <v>49.999995340337854</v>
      </c>
      <c r="J30" s="144">
        <f t="shared" si="7"/>
        <v>4.659662145911625E-6</v>
      </c>
      <c r="K30" s="205">
        <f t="shared" si="8"/>
        <v>0</v>
      </c>
      <c r="L30" s="205">
        <f t="shared" si="9"/>
        <v>9.3193242918232496E-8</v>
      </c>
      <c r="M30" s="203"/>
      <c r="N30" s="203"/>
    </row>
    <row r="31" spans="1:14">
      <c r="A31" s="117">
        <v>16</v>
      </c>
      <c r="B31" s="202">
        <f t="shared" si="1"/>
        <v>600.00002795797286</v>
      </c>
      <c r="C31" s="117">
        <v>0</v>
      </c>
      <c r="D31" s="117">
        <f t="shared" si="0"/>
        <v>120000007.81392105</v>
      </c>
      <c r="E31" s="117">
        <f t="shared" si="2"/>
        <v>190.98594414651603</v>
      </c>
      <c r="F31" s="117">
        <f t="shared" si="3"/>
        <v>-190.9859317102744</v>
      </c>
      <c r="G31" s="117">
        <f t="shared" si="4"/>
        <v>120.00000781392104</v>
      </c>
      <c r="H31" s="103">
        <f t="shared" si="5"/>
        <v>314.15924851770023</v>
      </c>
      <c r="I31" s="103">
        <f t="shared" si="6"/>
        <v>49.999997319627184</v>
      </c>
      <c r="J31" s="144">
        <f t="shared" si="7"/>
        <v>2.6803728161439722E-6</v>
      </c>
      <c r="K31" s="205">
        <f t="shared" si="8"/>
        <v>0</v>
      </c>
      <c r="L31" s="205">
        <f t="shared" si="9"/>
        <v>5.3607456322879442E-8</v>
      </c>
      <c r="M31" s="203"/>
      <c r="N31" s="203"/>
    </row>
    <row r="32" spans="1:14">
      <c r="A32" s="117">
        <v>17</v>
      </c>
      <c r="B32" s="202">
        <f t="shared" si="1"/>
        <v>600.00001608223693</v>
      </c>
      <c r="C32" s="117">
        <v>0</v>
      </c>
      <c r="D32" s="117">
        <f t="shared" si="0"/>
        <v>120000006.28142983</v>
      </c>
      <c r="E32" s="117">
        <f t="shared" si="2"/>
        <v>190.98594170748049</v>
      </c>
      <c r="F32" s="117">
        <f t="shared" si="3"/>
        <v>-190.9859317102744</v>
      </c>
      <c r="G32" s="117">
        <f t="shared" si="4"/>
        <v>120.00000628142983</v>
      </c>
      <c r="H32" s="103">
        <f t="shared" si="5"/>
        <v>314.15925851490636</v>
      </c>
      <c r="I32" s="103">
        <f t="shared" si="6"/>
        <v>49.999998910731961</v>
      </c>
      <c r="J32" s="144">
        <f t="shared" si="7"/>
        <v>1.0892680393226328E-6</v>
      </c>
      <c r="K32" s="205">
        <f t="shared" si="8"/>
        <v>0</v>
      </c>
      <c r="L32" s="205">
        <f t="shared" si="9"/>
        <v>2.1785360786452656E-8</v>
      </c>
      <c r="M32" s="203"/>
      <c r="N32" s="203"/>
    </row>
    <row r="33" spans="1:14">
      <c r="A33" s="117">
        <v>18</v>
      </c>
      <c r="B33" s="202">
        <f t="shared" si="1"/>
        <v>600.00000653560824</v>
      </c>
      <c r="C33" s="117">
        <v>0</v>
      </c>
      <c r="D33" s="117">
        <f t="shared" si="0"/>
        <v>120000004.62332709</v>
      </c>
      <c r="E33" s="117">
        <f t="shared" si="2"/>
        <v>190.98593906852801</v>
      </c>
      <c r="F33" s="117">
        <f t="shared" si="3"/>
        <v>-190.9859317102744</v>
      </c>
      <c r="G33" s="117">
        <f t="shared" si="4"/>
        <v>120.00000462332709</v>
      </c>
      <c r="H33" s="103">
        <f t="shared" si="5"/>
        <v>314.15926587315994</v>
      </c>
      <c r="I33" s="103">
        <f t="shared" si="6"/>
        <v>50.000000081834386</v>
      </c>
      <c r="J33" s="144">
        <f t="shared" si="7"/>
        <v>-8.18343863784321E-8</v>
      </c>
      <c r="K33" s="205">
        <f t="shared" si="8"/>
        <v>0</v>
      </c>
      <c r="L33" s="205">
        <f t="shared" si="9"/>
        <v>-1.6366877275686421E-9</v>
      </c>
      <c r="M33" s="203"/>
      <c r="N33" s="203"/>
    </row>
    <row r="34" spans="1:14">
      <c r="A34" s="117">
        <v>19</v>
      </c>
      <c r="B34" s="202">
        <f t="shared" si="1"/>
        <v>599.99999950899371</v>
      </c>
      <c r="C34" s="117">
        <v>0</v>
      </c>
      <c r="D34" s="117">
        <f t="shared" si="0"/>
        <v>120000003.04948431</v>
      </c>
      <c r="E34" s="117">
        <f t="shared" si="2"/>
        <v>190.98593656367945</v>
      </c>
      <c r="F34" s="117">
        <f t="shared" si="3"/>
        <v>-190.9859317102744</v>
      </c>
      <c r="G34" s="117">
        <f t="shared" si="4"/>
        <v>120.00000304948431</v>
      </c>
      <c r="H34" s="103">
        <f t="shared" si="5"/>
        <v>314.15927072656496</v>
      </c>
      <c r="I34" s="103">
        <f t="shared" si="6"/>
        <v>50.000000854277786</v>
      </c>
      <c r="J34" s="144">
        <f t="shared" si="7"/>
        <v>-8.5427778628854867E-7</v>
      </c>
      <c r="K34" s="205">
        <f t="shared" si="8"/>
        <v>0</v>
      </c>
      <c r="L34" s="205">
        <f t="shared" si="9"/>
        <v>-1.7085555725770975E-8</v>
      </c>
      <c r="M34" s="203"/>
      <c r="N34" s="203"/>
    </row>
    <row r="35" spans="1:14">
      <c r="A35" s="117">
        <v>20</v>
      </c>
      <c r="B35" s="202">
        <f t="shared" si="1"/>
        <v>599.99999487433331</v>
      </c>
      <c r="C35" s="117">
        <v>0</v>
      </c>
      <c r="D35" s="117">
        <f t="shared" si="0"/>
        <v>120000001.69127841</v>
      </c>
      <c r="E35" s="117">
        <f t="shared" si="2"/>
        <v>190.98593440202762</v>
      </c>
      <c r="F35" s="117">
        <f t="shared" si="3"/>
        <v>-190.9859317102744</v>
      </c>
      <c r="G35" s="117">
        <f t="shared" si="4"/>
        <v>120.00000169127841</v>
      </c>
      <c r="H35" s="103">
        <f t="shared" si="5"/>
        <v>314.15927341831821</v>
      </c>
      <c r="I35" s="103">
        <f t="shared" si="6"/>
        <v>50.000001282683627</v>
      </c>
      <c r="J35" s="144">
        <f t="shared" si="7"/>
        <v>-1.2826836268686748E-6</v>
      </c>
      <c r="K35" s="205">
        <f t="shared" si="8"/>
        <v>0</v>
      </c>
      <c r="L35" s="205">
        <f t="shared" si="9"/>
        <v>-2.5653672537373495E-8</v>
      </c>
      <c r="M35" s="203"/>
      <c r="N35" s="203"/>
    </row>
    <row r="36" spans="1:14">
      <c r="A36" s="117">
        <v>21</v>
      </c>
      <c r="B36" s="202">
        <f t="shared" si="1"/>
        <v>599.99999230389824</v>
      </c>
      <c r="C36" s="117">
        <f t="shared" ref="C36:C40" si="10">$B$11*1000000*$B$10</f>
        <v>1200000</v>
      </c>
      <c r="D36" s="117">
        <f t="shared" si="0"/>
        <v>120000000.61444548</v>
      </c>
      <c r="E36" s="117">
        <f t="shared" si="2"/>
        <v>190.98593268819477</v>
      </c>
      <c r="F36" s="117">
        <f t="shared" si="3"/>
        <v>-192.89579102737716</v>
      </c>
      <c r="G36" s="117">
        <f t="shared" si="4"/>
        <v>120.00000061444548</v>
      </c>
      <c r="H36" s="103">
        <f t="shared" si="5"/>
        <v>312.24941507913582</v>
      </c>
      <c r="I36" s="103">
        <f t="shared" si="6"/>
        <v>49.696037887397466</v>
      </c>
      <c r="J36" s="144">
        <f t="shared" si="7"/>
        <v>0.30396211260253381</v>
      </c>
      <c r="K36" s="205">
        <f t="shared" si="8"/>
        <v>0.01</v>
      </c>
      <c r="L36" s="205">
        <f t="shared" si="9"/>
        <v>6.0792422520506758E-3</v>
      </c>
      <c r="M36" s="203"/>
      <c r="N36" s="203"/>
    </row>
    <row r="37" spans="1:14">
      <c r="A37" s="117">
        <v>22</v>
      </c>
      <c r="B37" s="202">
        <f t="shared" si="1"/>
        <v>601.82377267561515</v>
      </c>
      <c r="C37" s="117">
        <f t="shared" si="10"/>
        <v>1200000</v>
      </c>
      <c r="D37" s="117">
        <f t="shared" si="0"/>
        <v>120121585.25467134</v>
      </c>
      <c r="E37" s="117">
        <f t="shared" si="2"/>
        <v>191.17944065315473</v>
      </c>
      <c r="F37" s="117">
        <f t="shared" si="3"/>
        <v>-192.89579102737716</v>
      </c>
      <c r="G37" s="117">
        <f t="shared" si="4"/>
        <v>120.12158525467133</v>
      </c>
      <c r="H37" s="103">
        <f t="shared" si="5"/>
        <v>310.53306470491339</v>
      </c>
      <c r="I37" s="103">
        <f t="shared" si="6"/>
        <v>49.422872241262347</v>
      </c>
      <c r="J37" s="144">
        <f t="shared" si="7"/>
        <v>0.5771277587376531</v>
      </c>
      <c r="K37" s="205">
        <f t="shared" si="8"/>
        <v>0.01</v>
      </c>
      <c r="L37" s="205">
        <f t="shared" si="9"/>
        <v>1.1542555174753062E-2</v>
      </c>
      <c r="M37" s="203"/>
      <c r="N37" s="203"/>
    </row>
    <row r="38" spans="1:14">
      <c r="A38" s="117">
        <v>23</v>
      </c>
      <c r="B38" s="202">
        <f t="shared" si="1"/>
        <v>603.46276655242593</v>
      </c>
      <c r="C38" s="117">
        <f t="shared" si="10"/>
        <v>1200000</v>
      </c>
      <c r="D38" s="117">
        <f t="shared" si="0"/>
        <v>120311907.93994261</v>
      </c>
      <c r="E38" s="117">
        <f t="shared" si="2"/>
        <v>191.4823486145892</v>
      </c>
      <c r="F38" s="117">
        <f t="shared" si="3"/>
        <v>-192.89579102737716</v>
      </c>
      <c r="G38" s="117">
        <f t="shared" si="4"/>
        <v>120.31190793994261</v>
      </c>
      <c r="H38" s="103">
        <f t="shared" si="5"/>
        <v>309.11962229212543</v>
      </c>
      <c r="I38" s="103">
        <f t="shared" si="6"/>
        <v>49.197915894491402</v>
      </c>
      <c r="J38" s="144">
        <f t="shared" si="7"/>
        <v>0.8020841055085981</v>
      </c>
      <c r="K38" s="205">
        <f t="shared" si="8"/>
        <v>0.01</v>
      </c>
      <c r="L38" s="205">
        <f t="shared" si="9"/>
        <v>1.6041682110171963E-2</v>
      </c>
      <c r="M38" s="203"/>
      <c r="N38" s="203"/>
    </row>
    <row r="39" spans="1:14">
      <c r="A39" s="117">
        <v>24</v>
      </c>
      <c r="B39" s="202">
        <f t="shared" si="1"/>
        <v>604.81250463305162</v>
      </c>
      <c r="C39" s="117">
        <f t="shared" si="10"/>
        <v>1200000</v>
      </c>
      <c r="D39" s="117">
        <f t="shared" si="0"/>
        <v>120528772.26883185</v>
      </c>
      <c r="E39" s="117">
        <f t="shared" si="2"/>
        <v>191.82749891381948</v>
      </c>
      <c r="F39" s="117">
        <f t="shared" si="3"/>
        <v>-192.89579102737716</v>
      </c>
      <c r="G39" s="117">
        <f t="shared" si="4"/>
        <v>120.52877226883184</v>
      </c>
      <c r="H39" s="103">
        <f t="shared" si="5"/>
        <v>308.05133017856775</v>
      </c>
      <c r="I39" s="103">
        <f t="shared" si="6"/>
        <v>49.027891923952616</v>
      </c>
      <c r="J39" s="144">
        <f t="shared" si="7"/>
        <v>0.97210807604738392</v>
      </c>
      <c r="K39" s="205">
        <f t="shared" si="8"/>
        <v>0.01</v>
      </c>
      <c r="L39" s="205">
        <f t="shared" si="9"/>
        <v>1.9442161520947677E-2</v>
      </c>
      <c r="M39" s="203"/>
      <c r="N39" s="203"/>
    </row>
    <row r="40" spans="1:14">
      <c r="A40" s="117">
        <v>25</v>
      </c>
      <c r="B40" s="202">
        <f t="shared" si="1"/>
        <v>605.83264845628435</v>
      </c>
      <c r="C40" s="117">
        <f t="shared" si="10"/>
        <v>1200000</v>
      </c>
      <c r="D40" s="117">
        <f t="shared" si="0"/>
        <v>120741358.07630685</v>
      </c>
      <c r="E40" s="117">
        <f t="shared" si="2"/>
        <v>192.16583973472777</v>
      </c>
      <c r="F40" s="117">
        <f t="shared" si="3"/>
        <v>-192.89579102737716</v>
      </c>
      <c r="G40" s="117">
        <f t="shared" si="4"/>
        <v>120.74135807630685</v>
      </c>
      <c r="H40" s="103">
        <f t="shared" si="5"/>
        <v>307.32137888591836</v>
      </c>
      <c r="I40" s="103">
        <f t="shared" si="6"/>
        <v>48.911716567511142</v>
      </c>
      <c r="J40" s="144">
        <f t="shared" si="7"/>
        <v>1.0882834324888577</v>
      </c>
      <c r="K40" s="205">
        <f t="shared" si="8"/>
        <v>0.01</v>
      </c>
      <c r="L40" s="205">
        <f t="shared" si="9"/>
        <v>2.1765668649777154E-2</v>
      </c>
      <c r="M40" s="203"/>
      <c r="N40" s="203"/>
    </row>
    <row r="41" spans="1:14">
      <c r="A41" s="117">
        <v>26</v>
      </c>
      <c r="B41" s="202">
        <f t="shared" si="1"/>
        <v>606.52970059493316</v>
      </c>
      <c r="C41" s="117">
        <f>$B$11*1000000*$B$10</f>
        <v>1200000</v>
      </c>
      <c r="D41" s="117">
        <f t="shared" si="0"/>
        <v>120929552.09053345</v>
      </c>
      <c r="E41" s="117">
        <f t="shared" si="2"/>
        <v>192.46535981097247</v>
      </c>
      <c r="F41" s="117">
        <f t="shared" si="3"/>
        <v>-192.89579102737716</v>
      </c>
      <c r="G41" s="117">
        <f t="shared" si="4"/>
        <v>120.92955209053345</v>
      </c>
      <c r="H41" s="103">
        <f>$L$6*D41 - $L$7 +H40 - C41*$B$10/(2*PI()*$B$4*$B$6)</f>
        <v>306.89094766951365</v>
      </c>
      <c r="I41" s="103">
        <f t="shared" si="6"/>
        <v>48.843211311759276</v>
      </c>
      <c r="J41" s="144">
        <f t="shared" si="7"/>
        <v>1.1567886882407237</v>
      </c>
      <c r="K41" s="205">
        <f t="shared" si="8"/>
        <v>0.01</v>
      </c>
      <c r="L41" s="205">
        <f t="shared" si="9"/>
        <v>2.3135773764814474E-2</v>
      </c>
      <c r="M41" s="203"/>
      <c r="N41" s="203"/>
    </row>
    <row r="42" spans="1:14">
      <c r="A42" s="117">
        <v>27</v>
      </c>
      <c r="B42" s="202">
        <f t="shared" si="1"/>
        <v>606.94073212944431</v>
      </c>
      <c r="C42" s="117">
        <f t="shared" ref="C42:C68" si="11">$B$11*1000000*$B$10</f>
        <v>1200000</v>
      </c>
      <c r="D42" s="117">
        <f t="shared" si="0"/>
        <v>121082416.86898525</v>
      </c>
      <c r="E42" s="117">
        <f t="shared" si="2"/>
        <v>192.70865166212496</v>
      </c>
      <c r="F42" s="117">
        <f t="shared" si="3"/>
        <v>-192.89579102737716</v>
      </c>
      <c r="G42" s="117">
        <f t="shared" si="4"/>
        <v>121.08241686898525</v>
      </c>
      <c r="H42" s="103">
        <f t="shared" si="5"/>
        <v>306.70380830426149</v>
      </c>
      <c r="I42" s="103">
        <f t="shared" si="6"/>
        <v>48.813427156732317</v>
      </c>
      <c r="J42" s="144">
        <f t="shared" si="7"/>
        <v>1.1865728432676832</v>
      </c>
      <c r="K42" s="205">
        <f t="shared" si="8"/>
        <v>0.01</v>
      </c>
      <c r="L42" s="205">
        <f t="shared" si="9"/>
        <v>2.3731456865353665E-2</v>
      </c>
      <c r="M42" s="203"/>
      <c r="N42" s="203"/>
    </row>
    <row r="43" spans="1:14">
      <c r="A43" s="117">
        <v>28</v>
      </c>
      <c r="B43" s="202">
        <f t="shared" si="1"/>
        <v>607.11943705960607</v>
      </c>
      <c r="C43" s="117">
        <f t="shared" si="11"/>
        <v>1200000</v>
      </c>
      <c r="D43" s="117">
        <f t="shared" si="0"/>
        <v>121196240.38329723</v>
      </c>
      <c r="E43" s="117">
        <f t="shared" si="2"/>
        <v>192.88980741155342</v>
      </c>
      <c r="F43" s="117">
        <f t="shared" si="3"/>
        <v>-192.89579102737716</v>
      </c>
      <c r="G43" s="117">
        <f t="shared" si="4"/>
        <v>121.19624038329724</v>
      </c>
      <c r="H43" s="103">
        <f t="shared" si="5"/>
        <v>306.69782468843772</v>
      </c>
      <c r="I43" s="103">
        <f t="shared" si="6"/>
        <v>48.812474834696403</v>
      </c>
      <c r="J43" s="144">
        <f t="shared" si="7"/>
        <v>1.1875251653035974</v>
      </c>
      <c r="K43" s="205">
        <f t="shared" si="8"/>
        <v>0.01</v>
      </c>
      <c r="L43" s="205">
        <f t="shared" si="9"/>
        <v>2.3750503306071948E-2</v>
      </c>
      <c r="M43" s="203"/>
      <c r="N43" s="203"/>
    </row>
    <row r="44" spans="1:14">
      <c r="A44" s="117">
        <v>29</v>
      </c>
      <c r="B44" s="202">
        <f t="shared" si="1"/>
        <v>607.12515099182156</v>
      </c>
      <c r="C44" s="117">
        <f t="shared" si="11"/>
        <v>1200000</v>
      </c>
      <c r="D44" s="117">
        <f t="shared" si="0"/>
        <v>121272503.65498626</v>
      </c>
      <c r="E44" s="117">
        <f t="shared" si="2"/>
        <v>193.0111841782101</v>
      </c>
      <c r="F44" s="117">
        <f t="shared" si="3"/>
        <v>-192.89579102737716</v>
      </c>
      <c r="G44" s="117">
        <f t="shared" si="4"/>
        <v>121.27250365498627</v>
      </c>
      <c r="H44" s="103">
        <f t="shared" si="5"/>
        <v>306.81321783927064</v>
      </c>
      <c r="I44" s="103">
        <f t="shared" si="6"/>
        <v>48.830840225050409</v>
      </c>
      <c r="J44" s="144">
        <f t="shared" si="7"/>
        <v>1.1691597749495912</v>
      </c>
      <c r="K44" s="205">
        <f t="shared" si="8"/>
        <v>0.01</v>
      </c>
      <c r="L44" s="205">
        <f t="shared" si="9"/>
        <v>2.3383195498991826E-2</v>
      </c>
      <c r="M44" s="203"/>
      <c r="N44" s="203"/>
    </row>
    <row r="45" spans="1:14">
      <c r="A45" s="117">
        <v>30</v>
      </c>
      <c r="B45" s="202">
        <f t="shared" si="1"/>
        <v>607.01495864969752</v>
      </c>
      <c r="C45" s="117">
        <f t="shared" si="11"/>
        <v>1200000</v>
      </c>
      <c r="D45" s="117">
        <f t="shared" si="0"/>
        <v>121315999.67997068</v>
      </c>
      <c r="E45" s="117">
        <f t="shared" si="2"/>
        <v>193.0804102520213</v>
      </c>
      <c r="F45" s="117">
        <f t="shared" si="3"/>
        <v>-192.89579102737716</v>
      </c>
      <c r="G45" s="117">
        <f t="shared" si="4"/>
        <v>121.31599967997069</v>
      </c>
      <c r="H45" s="103">
        <f t="shared" si="5"/>
        <v>306.9978370639148</v>
      </c>
      <c r="I45" s="103">
        <f t="shared" si="6"/>
        <v>48.86022328724232</v>
      </c>
      <c r="J45" s="144">
        <f t="shared" si="7"/>
        <v>1.1397767127576799</v>
      </c>
      <c r="K45" s="205">
        <f t="shared" si="8"/>
        <v>0.01</v>
      </c>
      <c r="L45" s="205">
        <f t="shared" si="9"/>
        <v>2.2795534255153599E-2</v>
      </c>
      <c r="M45" s="203"/>
      <c r="N45" s="203"/>
    </row>
    <row r="46" spans="1:14">
      <c r="A46" s="117">
        <v>31</v>
      </c>
      <c r="B46" s="202">
        <f t="shared" si="1"/>
        <v>606.83866027654608</v>
      </c>
      <c r="C46" s="117">
        <f t="shared" si="11"/>
        <v>1200000</v>
      </c>
      <c r="D46" s="117">
        <f t="shared" si="0"/>
        <v>121333243.80508353</v>
      </c>
      <c r="E46" s="117">
        <f t="shared" si="2"/>
        <v>193.10785512953134</v>
      </c>
      <c r="F46" s="117">
        <f t="shared" si="3"/>
        <v>-192.89579102737716</v>
      </c>
      <c r="G46" s="117">
        <f t="shared" si="4"/>
        <v>121.33324380508353</v>
      </c>
      <c r="H46" s="103">
        <f t="shared" si="5"/>
        <v>307.20990116606896</v>
      </c>
      <c r="I46" s="103">
        <f t="shared" si="6"/>
        <v>48.893974337352496</v>
      </c>
      <c r="J46" s="144">
        <f t="shared" si="7"/>
        <v>1.1060256626475038</v>
      </c>
      <c r="K46" s="205">
        <f t="shared" si="8"/>
        <v>0.01</v>
      </c>
      <c r="L46" s="205">
        <f t="shared" si="9"/>
        <v>2.2120513252950075E-2</v>
      </c>
      <c r="M46" s="203"/>
      <c r="N46" s="203"/>
    </row>
    <row r="47" spans="1:14">
      <c r="A47" s="117">
        <v>32</v>
      </c>
      <c r="B47" s="202">
        <f t="shared" si="1"/>
        <v>606.63615397588501</v>
      </c>
      <c r="C47" s="117">
        <f t="shared" si="11"/>
        <v>1200000</v>
      </c>
      <c r="D47" s="117">
        <f t="shared" ref="D47:D78" si="12">$L$4*($L$5*B47+D46)</f>
        <v>121331239.46844801</v>
      </c>
      <c r="E47" s="117">
        <f t="shared" si="2"/>
        <v>193.10466512869971</v>
      </c>
      <c r="F47" s="117">
        <f t="shared" si="3"/>
        <v>-192.89579102737716</v>
      </c>
      <c r="G47" s="117">
        <f t="shared" si="4"/>
        <v>121.33123946844802</v>
      </c>
      <c r="H47" s="103">
        <f t="shared" si="5"/>
        <v>307.41877526739148</v>
      </c>
      <c r="I47" s="103">
        <f t="shared" si="6"/>
        <v>48.927217683061855</v>
      </c>
      <c r="J47" s="144">
        <f t="shared" si="7"/>
        <v>1.0727823169381452</v>
      </c>
      <c r="K47" s="205">
        <f t="shared" si="8"/>
        <v>0.01</v>
      </c>
      <c r="L47" s="205">
        <f t="shared" si="9"/>
        <v>2.1455646338762905E-2</v>
      </c>
      <c r="M47" s="203"/>
      <c r="N47" s="203"/>
    </row>
    <row r="48" spans="1:14">
      <c r="A48" s="117">
        <v>33</v>
      </c>
      <c r="B48" s="202">
        <f t="shared" si="1"/>
        <v>606.43669390162881</v>
      </c>
      <c r="C48" s="117">
        <f t="shared" si="11"/>
        <v>1200000</v>
      </c>
      <c r="D48" s="117">
        <f t="shared" si="12"/>
        <v>121316605.90574059</v>
      </c>
      <c r="E48" s="117">
        <f t="shared" si="2"/>
        <v>193.08137509030038</v>
      </c>
      <c r="F48" s="117">
        <f t="shared" si="3"/>
        <v>-192.89579102737716</v>
      </c>
      <c r="G48" s="117">
        <f t="shared" si="4"/>
        <v>121.31660590574059</v>
      </c>
      <c r="H48" s="103">
        <f t="shared" si="5"/>
        <v>307.60435933031471</v>
      </c>
      <c r="I48" s="103">
        <f t="shared" si="6"/>
        <v>48.956754304035165</v>
      </c>
      <c r="J48" s="144">
        <f t="shared" si="7"/>
        <v>1.0432456959648349</v>
      </c>
      <c r="K48" s="205">
        <f t="shared" si="8"/>
        <v>0.01</v>
      </c>
      <c r="L48" s="205">
        <f t="shared" si="9"/>
        <v>2.0864913919296697E-2</v>
      </c>
      <c r="M48" s="203"/>
      <c r="N48" s="203"/>
    </row>
    <row r="49" spans="1:14">
      <c r="A49" s="117">
        <v>34</v>
      </c>
      <c r="B49" s="202">
        <f t="shared" si="1"/>
        <v>606.25947417578902</v>
      </c>
      <c r="C49" s="117">
        <f t="shared" si="11"/>
        <v>1200000</v>
      </c>
      <c r="D49" s="117">
        <f t="shared" si="12"/>
        <v>121295035.54887965</v>
      </c>
      <c r="E49" s="117">
        <f t="shared" si="2"/>
        <v>193.04704480111366</v>
      </c>
      <c r="F49" s="117">
        <f t="shared" si="3"/>
        <v>-192.89579102737716</v>
      </c>
      <c r="G49" s="117">
        <f t="shared" si="4"/>
        <v>121.29503554887965</v>
      </c>
      <c r="H49" s="103">
        <f t="shared" si="5"/>
        <v>307.75561310405118</v>
      </c>
      <c r="I49" s="103">
        <f t="shared" si="6"/>
        <v>48.980827089786622</v>
      </c>
      <c r="J49" s="144">
        <f t="shared" si="7"/>
        <v>1.0191729102133777</v>
      </c>
      <c r="K49" s="205">
        <f t="shared" si="8"/>
        <v>0.01</v>
      </c>
      <c r="L49" s="205">
        <f t="shared" si="9"/>
        <v>2.0383458204267554E-2</v>
      </c>
      <c r="M49" s="203"/>
      <c r="N49" s="203"/>
    </row>
    <row r="50" spans="1:14">
      <c r="A50" s="117">
        <v>35</v>
      </c>
      <c r="B50" s="202">
        <f t="shared" si="1"/>
        <v>606.11503746128028</v>
      </c>
      <c r="C50" s="117">
        <f t="shared" si="11"/>
        <v>1200000</v>
      </c>
      <c r="D50" s="117">
        <f t="shared" si="12"/>
        <v>121271026.19667178</v>
      </c>
      <c r="E50" s="117">
        <f t="shared" si="2"/>
        <v>193.00883273027048</v>
      </c>
      <c r="F50" s="117">
        <f t="shared" si="3"/>
        <v>-192.89579102737716</v>
      </c>
      <c r="G50" s="117">
        <f t="shared" si="4"/>
        <v>121.27102619667178</v>
      </c>
      <c r="H50" s="103">
        <f t="shared" si="5"/>
        <v>307.86865480694451</v>
      </c>
      <c r="I50" s="103">
        <f t="shared" si="6"/>
        <v>48.998818235577623</v>
      </c>
      <c r="J50" s="144">
        <f t="shared" si="7"/>
        <v>1.0011817644223768</v>
      </c>
      <c r="K50" s="205">
        <f t="shared" si="8"/>
        <v>0.01</v>
      </c>
      <c r="L50" s="205">
        <f t="shared" si="9"/>
        <v>2.0023635288447538E-2</v>
      </c>
      <c r="M50" s="203"/>
      <c r="N50" s="203"/>
    </row>
    <row r="51" spans="1:14">
      <c r="A51" s="117">
        <v>36</v>
      </c>
      <c r="B51" s="202">
        <f t="shared" si="1"/>
        <v>606.00709058653422</v>
      </c>
      <c r="C51" s="117">
        <f t="shared" si="11"/>
        <v>1200000</v>
      </c>
      <c r="D51" s="117">
        <f t="shared" si="12"/>
        <v>121247823.50355013</v>
      </c>
      <c r="E51" s="117">
        <f t="shared" si="2"/>
        <v>192.97190449723692</v>
      </c>
      <c r="F51" s="117">
        <f t="shared" si="3"/>
        <v>-192.89579102737716</v>
      </c>
      <c r="G51" s="117">
        <f t="shared" si="4"/>
        <v>121.24782350355012</v>
      </c>
      <c r="H51" s="103">
        <f t="shared" si="5"/>
        <v>307.94476827680427</v>
      </c>
      <c r="I51" s="103">
        <f t="shared" si="6"/>
        <v>49.010932070541678</v>
      </c>
      <c r="J51" s="144">
        <f t="shared" si="7"/>
        <v>0.98906792945832223</v>
      </c>
      <c r="K51" s="205">
        <f t="shared" si="8"/>
        <v>0.01</v>
      </c>
      <c r="L51" s="205">
        <f t="shared" si="9"/>
        <v>1.9781358589166444E-2</v>
      </c>
      <c r="M51" s="203"/>
      <c r="N51" s="203"/>
    </row>
    <row r="52" spans="1:14">
      <c r="A52" s="117">
        <v>37</v>
      </c>
      <c r="B52" s="202">
        <f t="shared" si="1"/>
        <v>605.93440757674989</v>
      </c>
      <c r="C52" s="117">
        <f t="shared" si="11"/>
        <v>1200000</v>
      </c>
      <c r="D52" s="117">
        <f t="shared" si="12"/>
        <v>121227509.50748339</v>
      </c>
      <c r="E52" s="117">
        <f t="shared" si="2"/>
        <v>192.93957376835723</v>
      </c>
      <c r="F52" s="117">
        <f t="shared" si="3"/>
        <v>-192.89579102737716</v>
      </c>
      <c r="G52" s="117">
        <f t="shared" si="4"/>
        <v>121.22750950748339</v>
      </c>
      <c r="H52" s="103">
        <f t="shared" si="5"/>
        <v>307.98855101778435</v>
      </c>
      <c r="I52" s="103">
        <f t="shared" si="6"/>
        <v>49.017900310190775</v>
      </c>
      <c r="J52" s="144">
        <f t="shared" si="7"/>
        <v>0.98209968980922469</v>
      </c>
      <c r="K52" s="205">
        <f t="shared" si="8"/>
        <v>0.01</v>
      </c>
      <c r="L52" s="205">
        <f t="shared" si="9"/>
        <v>1.9641993796184493E-2</v>
      </c>
      <c r="M52" s="203"/>
      <c r="N52" s="203"/>
    </row>
    <row r="53" spans="1:14">
      <c r="A53" s="117">
        <v>38</v>
      </c>
      <c r="B53" s="202">
        <f t="shared" si="1"/>
        <v>605.89259813885531</v>
      </c>
      <c r="C53" s="117">
        <f t="shared" si="11"/>
        <v>1200000</v>
      </c>
      <c r="D53" s="117">
        <f t="shared" si="12"/>
        <v>121211179.54757929</v>
      </c>
      <c r="E53" s="117">
        <f t="shared" si="2"/>
        <v>192.91358382996492</v>
      </c>
      <c r="F53" s="117">
        <f t="shared" si="3"/>
        <v>-192.89579102737716</v>
      </c>
      <c r="G53" s="117">
        <f t="shared" si="4"/>
        <v>121.21117954757929</v>
      </c>
      <c r="H53" s="103">
        <f t="shared" si="5"/>
        <v>308.00634382037214</v>
      </c>
      <c r="I53" s="103">
        <f t="shared" si="6"/>
        <v>49.020732122674076</v>
      </c>
      <c r="J53" s="144">
        <f t="shared" si="7"/>
        <v>0.97926787732592402</v>
      </c>
      <c r="K53" s="205">
        <f t="shared" si="8"/>
        <v>0.01</v>
      </c>
      <c r="L53" s="205">
        <f t="shared" si="9"/>
        <v>1.9585357546518481E-2</v>
      </c>
      <c r="M53" s="203"/>
      <c r="N53" s="203"/>
    </row>
    <row r="54" spans="1:14">
      <c r="A54" s="117">
        <v>39</v>
      </c>
      <c r="B54" s="202">
        <f t="shared" si="1"/>
        <v>605.87560726395554</v>
      </c>
      <c r="C54" s="117">
        <f t="shared" si="11"/>
        <v>1200000</v>
      </c>
      <c r="D54" s="117">
        <f t="shared" si="12"/>
        <v>121199160.18264988</v>
      </c>
      <c r="E54" s="117">
        <f t="shared" si="2"/>
        <v>192.8944544165515</v>
      </c>
      <c r="F54" s="117">
        <f t="shared" si="3"/>
        <v>-192.89579102737716</v>
      </c>
      <c r="G54" s="117">
        <f t="shared" si="4"/>
        <v>121.19916018264988</v>
      </c>
      <c r="H54" s="103">
        <f t="shared" si="5"/>
        <v>308.00500720954648</v>
      </c>
      <c r="I54" s="103">
        <f t="shared" si="6"/>
        <v>49.020519394454183</v>
      </c>
      <c r="J54" s="144">
        <f t="shared" si="7"/>
        <v>0.97948060554581673</v>
      </c>
      <c r="K54" s="205">
        <f t="shared" si="8"/>
        <v>0.01</v>
      </c>
      <c r="L54" s="205">
        <f t="shared" si="9"/>
        <v>1.9589612110916334E-2</v>
      </c>
      <c r="M54" s="203"/>
      <c r="N54" s="203"/>
    </row>
    <row r="55" spans="1:14">
      <c r="A55" s="117">
        <v>40</v>
      </c>
      <c r="B55" s="202">
        <f t="shared" si="1"/>
        <v>605.87688363327493</v>
      </c>
      <c r="C55" s="117">
        <f t="shared" si="11"/>
        <v>1200000</v>
      </c>
      <c r="D55" s="117">
        <f t="shared" si="12"/>
        <v>121191232.36398491</v>
      </c>
      <c r="E55" s="117">
        <f t="shared" si="2"/>
        <v>192.88183690126687</v>
      </c>
      <c r="F55" s="117">
        <f t="shared" si="3"/>
        <v>-192.89579102737716</v>
      </c>
      <c r="G55" s="117">
        <f t="shared" si="4"/>
        <v>121.19123236398491</v>
      </c>
      <c r="H55" s="103">
        <f t="shared" si="5"/>
        <v>307.99105308343616</v>
      </c>
      <c r="I55" s="103">
        <f t="shared" si="6"/>
        <v>49.018298526307198</v>
      </c>
      <c r="J55" s="144">
        <f t="shared" si="7"/>
        <v>0.98170147369280159</v>
      </c>
      <c r="K55" s="205">
        <f t="shared" si="8"/>
        <v>0.01</v>
      </c>
      <c r="L55" s="205">
        <f t="shared" si="9"/>
        <v>1.9634029473856032E-2</v>
      </c>
      <c r="M55" s="203"/>
      <c r="N55" s="203"/>
    </row>
    <row r="56" spans="1:14">
      <c r="A56" s="117">
        <v>41</v>
      </c>
      <c r="B56" s="202">
        <f t="shared" si="1"/>
        <v>605.89020884215677</v>
      </c>
      <c r="C56" s="117">
        <f t="shared" si="11"/>
        <v>1200000</v>
      </c>
      <c r="D56" s="117">
        <f t="shared" si="12"/>
        <v>121186835.4988004</v>
      </c>
      <c r="E56" s="117">
        <f t="shared" si="2"/>
        <v>192.8748390729846</v>
      </c>
      <c r="F56" s="117">
        <f t="shared" si="3"/>
        <v>-192.89579102737716</v>
      </c>
      <c r="G56" s="117">
        <f t="shared" si="4"/>
        <v>121.18683549880039</v>
      </c>
      <c r="H56" s="103">
        <f t="shared" si="5"/>
        <v>307.9701011290436</v>
      </c>
      <c r="I56" s="103">
        <f t="shared" si="6"/>
        <v>49.014963919198188</v>
      </c>
      <c r="J56" s="144">
        <f t="shared" si="7"/>
        <v>0.98503608080181237</v>
      </c>
      <c r="K56" s="205">
        <f t="shared" si="8"/>
        <v>0.01</v>
      </c>
      <c r="L56" s="205">
        <f t="shared" si="9"/>
        <v>1.9700721616036247E-2</v>
      </c>
      <c r="M56" s="203"/>
      <c r="N56" s="203"/>
    </row>
    <row r="57" spans="1:14">
      <c r="A57" s="117">
        <v>42</v>
      </c>
      <c r="B57" s="202">
        <f t="shared" si="1"/>
        <v>605.91021648481092</v>
      </c>
      <c r="C57" s="117">
        <f t="shared" si="11"/>
        <v>1200000</v>
      </c>
      <c r="D57" s="117">
        <f t="shared" si="12"/>
        <v>121185238.09818766</v>
      </c>
      <c r="E57" s="117">
        <f t="shared" si="2"/>
        <v>192.87229673094845</v>
      </c>
      <c r="F57" s="117">
        <f t="shared" si="3"/>
        <v>-192.89579102737716</v>
      </c>
      <c r="G57" s="117">
        <f t="shared" si="4"/>
        <v>121.18523809818765</v>
      </c>
      <c r="H57" s="103">
        <f t="shared" si="5"/>
        <v>307.94660683261492</v>
      </c>
      <c r="I57" s="103">
        <f t="shared" si="6"/>
        <v>49.011224685787099</v>
      </c>
      <c r="J57" s="144">
        <f t="shared" si="7"/>
        <v>0.98877531421290143</v>
      </c>
      <c r="K57" s="205">
        <f t="shared" si="8"/>
        <v>0.01</v>
      </c>
      <c r="L57" s="205">
        <f t="shared" si="9"/>
        <v>1.9775506284258029E-2</v>
      </c>
      <c r="M57" s="203"/>
      <c r="N57" s="203"/>
    </row>
    <row r="58" spans="1:14">
      <c r="A58" s="117">
        <v>43</v>
      </c>
      <c r="B58" s="202">
        <f t="shared" si="1"/>
        <v>605.93265188527744</v>
      </c>
      <c r="C58" s="117">
        <f t="shared" si="11"/>
        <v>1200000</v>
      </c>
      <c r="D58" s="117">
        <f t="shared" si="12"/>
        <v>121185668.85781026</v>
      </c>
      <c r="E58" s="117">
        <f t="shared" si="2"/>
        <v>192.87298230618066</v>
      </c>
      <c r="F58" s="117">
        <f t="shared" si="3"/>
        <v>-192.89579102737716</v>
      </c>
      <c r="G58" s="117">
        <f t="shared" si="4"/>
        <v>121.18566885781026</v>
      </c>
      <c r="H58" s="103">
        <f t="shared" si="5"/>
        <v>307.92379811141842</v>
      </c>
      <c r="I58" s="103">
        <f t="shared" si="6"/>
        <v>49.007594565063066</v>
      </c>
      <c r="J58" s="144">
        <f t="shared" si="7"/>
        <v>0.99240543493693423</v>
      </c>
      <c r="K58" s="205">
        <f t="shared" si="8"/>
        <v>0.01</v>
      </c>
      <c r="L58" s="205">
        <f t="shared" si="9"/>
        <v>1.9848108698738685E-2</v>
      </c>
      <c r="M58" s="203"/>
      <c r="N58" s="203"/>
    </row>
    <row r="59" spans="1:14">
      <c r="A59" s="117">
        <v>44</v>
      </c>
      <c r="B59" s="202">
        <f t="shared" si="1"/>
        <v>605.95443260962156</v>
      </c>
      <c r="C59" s="117">
        <f t="shared" si="11"/>
        <v>1200000</v>
      </c>
      <c r="D59" s="117">
        <f t="shared" si="12"/>
        <v>121187408.07918161</v>
      </c>
      <c r="E59" s="117">
        <f t="shared" si="2"/>
        <v>192.87575036296448</v>
      </c>
      <c r="F59" s="117">
        <f t="shared" si="3"/>
        <v>-192.89579102737716</v>
      </c>
      <c r="G59" s="117">
        <f t="shared" si="4"/>
        <v>121.18740807918161</v>
      </c>
      <c r="H59" s="103">
        <f t="shared" si="5"/>
        <v>307.90375744700572</v>
      </c>
      <c r="I59" s="103">
        <f t="shared" si="6"/>
        <v>49.004404994258941</v>
      </c>
      <c r="J59" s="144">
        <f t="shared" si="7"/>
        <v>0.99559500574105897</v>
      </c>
      <c r="K59" s="205">
        <f t="shared" si="8"/>
        <v>0.01</v>
      </c>
      <c r="L59" s="205">
        <f t="shared" si="9"/>
        <v>1.991190011482118E-2</v>
      </c>
      <c r="M59" s="203"/>
      <c r="N59" s="203"/>
    </row>
    <row r="60" spans="1:14">
      <c r="A60" s="117">
        <v>45</v>
      </c>
      <c r="B60" s="202">
        <f t="shared" si="1"/>
        <v>605.97357003444631</v>
      </c>
      <c r="C60" s="117">
        <f t="shared" si="11"/>
        <v>1200000</v>
      </c>
      <c r="D60" s="117">
        <f t="shared" si="12"/>
        <v>121189843.3884175</v>
      </c>
      <c r="E60" s="117">
        <f t="shared" si="2"/>
        <v>192.87962627799297</v>
      </c>
      <c r="F60" s="117">
        <f t="shared" si="3"/>
        <v>-192.89579102737716</v>
      </c>
      <c r="G60" s="117">
        <f t="shared" si="4"/>
        <v>121.1898433884175</v>
      </c>
      <c r="H60" s="103">
        <f t="shared" si="5"/>
        <v>307.88759269762153</v>
      </c>
      <c r="I60" s="103">
        <f t="shared" si="6"/>
        <v>49.001832294490605</v>
      </c>
      <c r="J60" s="144">
        <f t="shared" si="7"/>
        <v>0.99816770550939538</v>
      </c>
      <c r="K60" s="205">
        <f t="shared" si="8"/>
        <v>0.01</v>
      </c>
      <c r="L60" s="205">
        <f t="shared" si="9"/>
        <v>1.9963354110187907E-2</v>
      </c>
      <c r="M60" s="203"/>
      <c r="N60" s="203"/>
    </row>
    <row r="61" spans="1:14">
      <c r="A61" s="117">
        <v>46</v>
      </c>
      <c r="B61" s="202">
        <f t="shared" si="1"/>
        <v>605.98900623305633</v>
      </c>
      <c r="C61" s="117">
        <f t="shared" si="11"/>
        <v>1200000</v>
      </c>
      <c r="D61" s="117">
        <f t="shared" si="12"/>
        <v>121192496.00781542</v>
      </c>
      <c r="E61" s="117">
        <f t="shared" si="2"/>
        <v>192.88384805288618</v>
      </c>
      <c r="F61" s="117">
        <f t="shared" si="3"/>
        <v>-192.89579102737716</v>
      </c>
      <c r="G61" s="117">
        <f t="shared" si="4"/>
        <v>121.19249600781542</v>
      </c>
      <c r="H61" s="103">
        <f t="shared" si="5"/>
        <v>307.87564972313055</v>
      </c>
      <c r="I61" s="103">
        <f t="shared" si="6"/>
        <v>48.999931511065149</v>
      </c>
      <c r="J61" s="144">
        <f t="shared" si="7"/>
        <v>1.0000684889348506</v>
      </c>
      <c r="K61" s="205">
        <f t="shared" si="8"/>
        <v>0.01</v>
      </c>
      <c r="L61" s="205">
        <f t="shared" si="9"/>
        <v>2.0001369778697011E-2</v>
      </c>
      <c r="M61" s="203"/>
      <c r="N61" s="203"/>
    </row>
    <row r="62" spans="1:14">
      <c r="A62" s="117">
        <v>47</v>
      </c>
      <c r="B62" s="202">
        <f t="shared" si="1"/>
        <v>606.00041093360915</v>
      </c>
      <c r="C62" s="117">
        <f t="shared" si="11"/>
        <v>1200000</v>
      </c>
      <c r="D62" s="117">
        <f t="shared" si="12"/>
        <v>121195024.73411754</v>
      </c>
      <c r="E62" s="117">
        <f t="shared" si="2"/>
        <v>192.88787264579327</v>
      </c>
      <c r="F62" s="117">
        <f t="shared" si="3"/>
        <v>-192.89579102737716</v>
      </c>
      <c r="G62" s="117">
        <f t="shared" si="4"/>
        <v>121.19502473411754</v>
      </c>
      <c r="H62" s="103">
        <f t="shared" si="5"/>
        <v>307.86773134154663</v>
      </c>
      <c r="I62" s="103">
        <f t="shared" si="6"/>
        <v>48.998671261494778</v>
      </c>
      <c r="J62" s="144">
        <f t="shared" si="7"/>
        <v>1.0013287385052223</v>
      </c>
      <c r="K62" s="205">
        <f t="shared" si="8"/>
        <v>0.01</v>
      </c>
      <c r="L62" s="205">
        <f t="shared" si="9"/>
        <v>2.0026574770104447E-2</v>
      </c>
      <c r="M62" s="203"/>
      <c r="N62" s="203"/>
    </row>
    <row r="63" spans="1:14">
      <c r="A63" s="117">
        <v>48</v>
      </c>
      <c r="B63" s="202">
        <f t="shared" si="1"/>
        <v>606.00797243103136</v>
      </c>
      <c r="C63" s="117">
        <f t="shared" si="11"/>
        <v>1200000</v>
      </c>
      <c r="D63" s="117">
        <f t="shared" si="12"/>
        <v>121197214.65148045</v>
      </c>
      <c r="E63" s="117">
        <f t="shared" si="2"/>
        <v>192.89135800752598</v>
      </c>
      <c r="F63" s="117">
        <f t="shared" si="3"/>
        <v>-192.89579102737716</v>
      </c>
      <c r="G63" s="117">
        <f t="shared" si="4"/>
        <v>121.19721465148045</v>
      </c>
      <c r="H63" s="103">
        <f t="shared" si="5"/>
        <v>307.86329832169548</v>
      </c>
      <c r="I63" s="103">
        <f t="shared" si="6"/>
        <v>48.997965724472643</v>
      </c>
      <c r="J63" s="144">
        <f t="shared" si="7"/>
        <v>1.0020342755273575</v>
      </c>
      <c r="K63" s="205">
        <f t="shared" si="8"/>
        <v>0.01</v>
      </c>
      <c r="L63" s="205">
        <f t="shared" si="9"/>
        <v>2.0040685510547149E-2</v>
      </c>
      <c r="M63" s="203"/>
      <c r="N63" s="203"/>
    </row>
    <row r="64" spans="1:14">
      <c r="A64" s="117">
        <v>49</v>
      </c>
      <c r="B64" s="202">
        <f t="shared" si="1"/>
        <v>606.01220565316419</v>
      </c>
      <c r="C64" s="117">
        <f t="shared" si="11"/>
        <v>1200000</v>
      </c>
      <c r="D64" s="117">
        <f t="shared" si="12"/>
        <v>121198956.81119791</v>
      </c>
      <c r="E64" s="117">
        <f t="shared" si="2"/>
        <v>192.89413074083285</v>
      </c>
      <c r="F64" s="117">
        <f t="shared" si="3"/>
        <v>-192.89579102737716</v>
      </c>
      <c r="G64" s="117">
        <f t="shared" si="4"/>
        <v>121.1989568111979</v>
      </c>
      <c r="H64" s="103">
        <f t="shared" si="5"/>
        <v>307.8616380351512</v>
      </c>
      <c r="I64" s="103">
        <f t="shared" si="6"/>
        <v>48.997701481662169</v>
      </c>
      <c r="J64" s="144">
        <f t="shared" si="7"/>
        <v>1.002298518337831</v>
      </c>
      <c r="K64" s="205">
        <f t="shared" si="8"/>
        <v>0.01</v>
      </c>
      <c r="L64" s="205">
        <f t="shared" si="9"/>
        <v>2.0045970366756621E-2</v>
      </c>
      <c r="M64" s="203"/>
      <c r="N64" s="203"/>
    </row>
    <row r="65" spans="1:14">
      <c r="A65" s="117">
        <v>50</v>
      </c>
      <c r="B65" s="202">
        <f t="shared" si="1"/>
        <v>606.013791110027</v>
      </c>
      <c r="C65" s="117">
        <f t="shared" si="11"/>
        <v>1200000</v>
      </c>
      <c r="D65" s="117">
        <f t="shared" si="12"/>
        <v>121200223.94813374</v>
      </c>
      <c r="E65" s="117">
        <f t="shared" si="2"/>
        <v>192.89614745190198</v>
      </c>
      <c r="F65" s="117">
        <f t="shared" si="3"/>
        <v>-192.89579102737716</v>
      </c>
      <c r="G65" s="117">
        <f t="shared" si="4"/>
        <v>121.20022394813374</v>
      </c>
      <c r="H65" s="103">
        <f t="shared" si="5"/>
        <v>307.86199445967605</v>
      </c>
      <c r="I65" s="103">
        <f t="shared" si="6"/>
        <v>48.99775820838714</v>
      </c>
      <c r="J65" s="144">
        <f t="shared" si="7"/>
        <v>1.0022417916128603</v>
      </c>
      <c r="K65" s="205">
        <f t="shared" si="8"/>
        <v>0.01</v>
      </c>
      <c r="L65" s="205">
        <f t="shared" si="9"/>
        <v>2.0044835832257205E-2</v>
      </c>
      <c r="M65" s="203"/>
      <c r="N65" s="203"/>
    </row>
    <row r="66" spans="1:14">
      <c r="A66" s="117">
        <v>51</v>
      </c>
      <c r="B66" s="202">
        <f t="shared" si="1"/>
        <v>606.01345074967719</v>
      </c>
      <c r="C66" s="117">
        <f t="shared" si="11"/>
        <v>1200000</v>
      </c>
      <c r="D66" s="117">
        <f t="shared" si="12"/>
        <v>121201046.01540096</v>
      </c>
      <c r="E66" s="117">
        <f t="shared" si="2"/>
        <v>192.89745581259331</v>
      </c>
      <c r="F66" s="117">
        <f t="shared" si="3"/>
        <v>-192.89579102737716</v>
      </c>
      <c r="G66" s="117">
        <f t="shared" si="4"/>
        <v>121.20104601540096</v>
      </c>
      <c r="H66" s="103">
        <f t="shared" si="5"/>
        <v>307.86365924489218</v>
      </c>
      <c r="I66" s="103">
        <f t="shared" si="6"/>
        <v>48.998023167183476</v>
      </c>
      <c r="J66" s="144">
        <f t="shared" si="7"/>
        <v>1.0019768328165242</v>
      </c>
      <c r="K66" s="205">
        <f t="shared" si="8"/>
        <v>0.01</v>
      </c>
      <c r="L66" s="205">
        <f t="shared" si="9"/>
        <v>2.0039536656330483E-2</v>
      </c>
      <c r="M66" s="203"/>
      <c r="N66" s="203"/>
    </row>
    <row r="67" spans="1:14">
      <c r="A67" s="117">
        <v>52</v>
      </c>
      <c r="B67" s="202">
        <f t="shared" si="1"/>
        <v>606.01186099689914</v>
      </c>
      <c r="C67" s="117">
        <f t="shared" si="11"/>
        <v>1200000</v>
      </c>
      <c r="D67" s="117">
        <f t="shared" si="12"/>
        <v>121201488.07672724</v>
      </c>
      <c r="E67" s="117">
        <f t="shared" si="2"/>
        <v>192.89815937504557</v>
      </c>
      <c r="F67" s="117">
        <f t="shared" si="3"/>
        <v>-192.89579102737716</v>
      </c>
      <c r="G67" s="117">
        <f t="shared" si="4"/>
        <v>121.20148807672724</v>
      </c>
      <c r="H67" s="103">
        <f t="shared" si="5"/>
        <v>307.86602759256056</v>
      </c>
      <c r="I67" s="103">
        <f t="shared" si="6"/>
        <v>48.998400101421858</v>
      </c>
      <c r="J67" s="144">
        <f t="shared" si="7"/>
        <v>1.0015998985781422</v>
      </c>
      <c r="K67" s="205">
        <f t="shared" si="8"/>
        <v>0.01</v>
      </c>
      <c r="L67" s="205">
        <f t="shared" si="9"/>
        <v>2.0031997971562843E-2</v>
      </c>
      <c r="M67" s="203"/>
      <c r="N67" s="203"/>
    </row>
    <row r="68" spans="1:14">
      <c r="A68" s="117">
        <v>53</v>
      </c>
      <c r="B68" s="202">
        <f t="shared" si="1"/>
        <v>606.0095993914689</v>
      </c>
      <c r="C68" s="117">
        <f t="shared" si="11"/>
        <v>1200000</v>
      </c>
      <c r="D68" s="117">
        <f t="shared" si="12"/>
        <v>121201632.01058276</v>
      </c>
      <c r="E68" s="117">
        <f t="shared" si="2"/>
        <v>192.89838845289142</v>
      </c>
      <c r="F68" s="117">
        <f t="shared" si="3"/>
        <v>-192.89579102737716</v>
      </c>
      <c r="G68" s="117">
        <f t="shared" si="4"/>
        <v>121.20163201058276</v>
      </c>
      <c r="H68" s="103">
        <f t="shared" si="5"/>
        <v>307.86862501807485</v>
      </c>
      <c r="I68" s="103">
        <f t="shared" si="6"/>
        <v>48.998813494531767</v>
      </c>
      <c r="J68" s="144">
        <f t="shared" si="7"/>
        <v>1.0011865054682332</v>
      </c>
      <c r="K68" s="205">
        <f t="shared" si="8"/>
        <v>0.01</v>
      </c>
      <c r="L68" s="205">
        <f t="shared" si="9"/>
        <v>2.0023730109364663E-2</v>
      </c>
      <c r="M68" s="203"/>
      <c r="N68" s="203"/>
    </row>
    <row r="69" spans="1:14">
      <c r="A69" s="117">
        <v>54</v>
      </c>
      <c r="B69" s="202">
        <f t="shared" si="1"/>
        <v>606.00711903280944</v>
      </c>
      <c r="C69" s="103">
        <v>0</v>
      </c>
      <c r="D69" s="117">
        <f t="shared" si="12"/>
        <v>121201562.60924247</v>
      </c>
      <c r="E69" s="117">
        <f t="shared" si="2"/>
        <v>192.89827799722778</v>
      </c>
      <c r="F69" s="117">
        <f t="shared" si="3"/>
        <v>-190.9859317102744</v>
      </c>
      <c r="G69" s="117">
        <f t="shared" si="4"/>
        <v>121.20156260924247</v>
      </c>
      <c r="H69" s="103">
        <f t="shared" si="5"/>
        <v>309.78097130502823</v>
      </c>
      <c r="I69" s="103">
        <f t="shared" si="6"/>
        <v>49.30317285900383</v>
      </c>
      <c r="J69" s="144">
        <f t="shared" si="7"/>
        <v>0.69682714099617016</v>
      </c>
      <c r="K69" s="205">
        <f t="shared" si="8"/>
        <v>0</v>
      </c>
      <c r="L69" s="205">
        <f t="shared" si="9"/>
        <v>1.3936542819923403E-2</v>
      </c>
      <c r="M69" s="203"/>
      <c r="N69" s="203"/>
    </row>
    <row r="70" spans="1:14">
      <c r="A70" s="117">
        <v>55</v>
      </c>
      <c r="B70" s="202">
        <f t="shared" si="1"/>
        <v>604.18096284597698</v>
      </c>
      <c r="C70" s="103">
        <v>0</v>
      </c>
      <c r="D70" s="117">
        <f t="shared" si="12"/>
        <v>121079772.59589344</v>
      </c>
      <c r="E70" s="117">
        <f t="shared" si="2"/>
        <v>192.70444317079051</v>
      </c>
      <c r="F70" s="117">
        <f t="shared" si="3"/>
        <v>-190.9859317102744</v>
      </c>
      <c r="G70" s="117">
        <f t="shared" si="4"/>
        <v>121.07977259589344</v>
      </c>
      <c r="H70" s="103">
        <f t="shared" si="5"/>
        <v>311.49948276554437</v>
      </c>
      <c r="I70" s="103">
        <f t="shared" si="6"/>
        <v>49.57668245270505</v>
      </c>
      <c r="J70" s="144">
        <f t="shared" si="7"/>
        <v>0.42331754729494975</v>
      </c>
      <c r="K70" s="205">
        <f t="shared" si="8"/>
        <v>0</v>
      </c>
      <c r="L70" s="205">
        <f t="shared" si="9"/>
        <v>8.4663509458989955E-3</v>
      </c>
      <c r="M70" s="203"/>
      <c r="N70" s="203"/>
    </row>
    <row r="71" spans="1:14">
      <c r="A71" s="117">
        <v>56</v>
      </c>
      <c r="B71" s="202">
        <f t="shared" si="1"/>
        <v>602.53990528376971</v>
      </c>
      <c r="C71" s="103">
        <v>0</v>
      </c>
      <c r="D71" s="117">
        <f t="shared" si="12"/>
        <v>120889175.41618027</v>
      </c>
      <c r="E71" s="117">
        <f t="shared" si="2"/>
        <v>192.40109833788324</v>
      </c>
      <c r="F71" s="117">
        <f t="shared" si="3"/>
        <v>-190.9859317102744</v>
      </c>
      <c r="G71" s="117">
        <f t="shared" si="4"/>
        <v>120.88917541618027</v>
      </c>
      <c r="H71" s="103">
        <f t="shared" si="5"/>
        <v>312.91464939315324</v>
      </c>
      <c r="I71" s="103">
        <f t="shared" si="6"/>
        <v>49.801913216787689</v>
      </c>
      <c r="J71" s="144">
        <f t="shared" si="7"/>
        <v>0.19808678321231099</v>
      </c>
      <c r="K71" s="205">
        <f t="shared" si="8"/>
        <v>0</v>
      </c>
      <c r="L71" s="205">
        <f t="shared" si="9"/>
        <v>3.9617356642462197E-3</v>
      </c>
      <c r="M71" s="203"/>
      <c r="N71" s="203"/>
    </row>
    <row r="72" spans="1:14">
      <c r="A72" s="117">
        <v>57</v>
      </c>
      <c r="B72" s="202">
        <f t="shared" si="1"/>
        <v>601.18852069927391</v>
      </c>
      <c r="C72" s="103">
        <v>0</v>
      </c>
      <c r="D72" s="117">
        <f t="shared" si="12"/>
        <v>120672018.32407176</v>
      </c>
      <c r="E72" s="117">
        <f t="shared" si="2"/>
        <v>192.05548209151794</v>
      </c>
      <c r="F72" s="117">
        <f t="shared" si="3"/>
        <v>-190.9859317102744</v>
      </c>
      <c r="G72" s="117">
        <f t="shared" si="4"/>
        <v>120.67201832407177</v>
      </c>
      <c r="H72" s="103">
        <f t="shared" si="5"/>
        <v>313.98419977439676</v>
      </c>
      <c r="I72" s="103">
        <f t="shared" si="6"/>
        <v>49.972137446848414</v>
      </c>
      <c r="J72" s="144">
        <f t="shared" si="7"/>
        <v>2.7862553151585701E-2</v>
      </c>
      <c r="K72" s="205">
        <f t="shared" si="8"/>
        <v>0</v>
      </c>
      <c r="L72" s="205">
        <f t="shared" si="9"/>
        <v>5.57251063031714E-4</v>
      </c>
      <c r="M72" s="203"/>
      <c r="N72" s="203"/>
    </row>
    <row r="73" spans="1:14">
      <c r="A73" s="117">
        <v>58</v>
      </c>
      <c r="B73" s="202">
        <f t="shared" si="1"/>
        <v>600.16717531890947</v>
      </c>
      <c r="C73" s="103">
        <v>0</v>
      </c>
      <c r="D73" s="117">
        <f t="shared" si="12"/>
        <v>120459157.23730846</v>
      </c>
      <c r="E73" s="117">
        <f t="shared" si="2"/>
        <v>191.71670315001501</v>
      </c>
      <c r="F73" s="117">
        <f t="shared" si="3"/>
        <v>-190.9859317102744</v>
      </c>
      <c r="G73" s="117">
        <f t="shared" si="4"/>
        <v>120.45915723730846</v>
      </c>
      <c r="H73" s="103">
        <f t="shared" si="5"/>
        <v>314.71497121413734</v>
      </c>
      <c r="I73" s="103">
        <f t="shared" si="6"/>
        <v>50.08844333375351</v>
      </c>
      <c r="J73" s="144">
        <f t="shared" si="7"/>
        <v>-8.8443333753509989E-2</v>
      </c>
      <c r="K73" s="205">
        <f t="shared" si="8"/>
        <v>0</v>
      </c>
      <c r="L73" s="205">
        <f t="shared" si="9"/>
        <v>-1.7688666750701998E-3</v>
      </c>
      <c r="M73" s="203"/>
      <c r="N73" s="203"/>
    </row>
    <row r="74" spans="1:14">
      <c r="A74" s="117">
        <v>59</v>
      </c>
      <c r="B74" s="202">
        <f t="shared" si="1"/>
        <v>599.46933999747898</v>
      </c>
      <c r="C74" s="103">
        <v>0</v>
      </c>
      <c r="D74" s="117">
        <f t="shared" si="12"/>
        <v>120270727.49137089</v>
      </c>
      <c r="E74" s="117">
        <f t="shared" si="2"/>
        <v>191.41680789509988</v>
      </c>
      <c r="F74" s="117">
        <f t="shared" si="3"/>
        <v>-190.9859317102744</v>
      </c>
      <c r="G74" s="117">
        <f t="shared" si="4"/>
        <v>120.27072749137089</v>
      </c>
      <c r="H74" s="103">
        <f t="shared" si="5"/>
        <v>315.14584739896281</v>
      </c>
      <c r="I74" s="103">
        <f t="shared" si="6"/>
        <v>50.157019408429058</v>
      </c>
      <c r="J74" s="144">
        <f t="shared" si="7"/>
        <v>-0.15701940842905771</v>
      </c>
      <c r="K74" s="205">
        <f t="shared" si="8"/>
        <v>0</v>
      </c>
      <c r="L74" s="205">
        <f t="shared" si="9"/>
        <v>-3.1403881685811543E-3</v>
      </c>
      <c r="M74" s="203"/>
      <c r="N74" s="203"/>
    </row>
    <row r="75" spans="1:14">
      <c r="A75" s="117">
        <v>60</v>
      </c>
      <c r="B75" s="202">
        <f t="shared" si="1"/>
        <v>599.0578835494257</v>
      </c>
      <c r="C75" s="103">
        <v>0</v>
      </c>
      <c r="D75" s="117">
        <f t="shared" si="12"/>
        <v>120117677.23087563</v>
      </c>
      <c r="E75" s="117">
        <f t="shared" si="2"/>
        <v>191.17322084010664</v>
      </c>
      <c r="F75" s="117">
        <f t="shared" si="3"/>
        <v>-190.9859317102744</v>
      </c>
      <c r="G75" s="117">
        <f t="shared" si="4"/>
        <v>120.11767723087563</v>
      </c>
      <c r="H75" s="103">
        <f t="shared" si="5"/>
        <v>315.33313652879508</v>
      </c>
      <c r="I75" s="103">
        <f t="shared" si="6"/>
        <v>50.186827399229244</v>
      </c>
      <c r="J75" s="144">
        <f t="shared" si="7"/>
        <v>-0.18682739922924441</v>
      </c>
      <c r="K75" s="205">
        <f t="shared" si="8"/>
        <v>0</v>
      </c>
      <c r="L75" s="205">
        <f t="shared" si="9"/>
        <v>-3.7365479845848882E-3</v>
      </c>
      <c r="M75" s="203"/>
      <c r="N75" s="203"/>
    </row>
    <row r="76" spans="1:14">
      <c r="A76" s="117">
        <v>61</v>
      </c>
      <c r="B76" s="202">
        <f t="shared" si="1"/>
        <v>598.87903560462451</v>
      </c>
      <c r="C76" s="103">
        <v>0</v>
      </c>
      <c r="D76" s="117">
        <f t="shared" si="12"/>
        <v>120003720.52755871</v>
      </c>
      <c r="E76" s="117">
        <f t="shared" si="2"/>
        <v>190.99185311379321</v>
      </c>
      <c r="F76" s="117">
        <f t="shared" si="3"/>
        <v>-190.9859317102744</v>
      </c>
      <c r="G76" s="117">
        <f t="shared" si="4"/>
        <v>120.00372052755871</v>
      </c>
      <c r="H76" s="103">
        <f t="shared" si="5"/>
        <v>315.33905793231389</v>
      </c>
      <c r="I76" s="103">
        <f t="shared" si="6"/>
        <v>50.187769819869303</v>
      </c>
      <c r="J76" s="144">
        <f t="shared" si="7"/>
        <v>-0.18776981986930252</v>
      </c>
      <c r="K76" s="205">
        <f t="shared" si="8"/>
        <v>0</v>
      </c>
      <c r="L76" s="205">
        <f t="shared" si="9"/>
        <v>-3.7553963973860505E-3</v>
      </c>
      <c r="M76" s="203"/>
      <c r="N76" s="203"/>
    </row>
    <row r="77" spans="1:14">
      <c r="A77" s="117">
        <v>62</v>
      </c>
      <c r="B77" s="202">
        <f t="shared" si="1"/>
        <v>598.87338108078416</v>
      </c>
      <c r="C77" s="103">
        <v>0</v>
      </c>
      <c r="D77" s="117">
        <f t="shared" si="12"/>
        <v>119927372.42375809</v>
      </c>
      <c r="E77" s="117">
        <f t="shared" si="2"/>
        <v>190.87034133263759</v>
      </c>
      <c r="F77" s="117">
        <f t="shared" si="3"/>
        <v>-190.9859317102744</v>
      </c>
      <c r="G77" s="117">
        <f t="shared" si="4"/>
        <v>119.92737242375809</v>
      </c>
      <c r="H77" s="103">
        <f t="shared" si="5"/>
        <v>315.22346755467709</v>
      </c>
      <c r="I77" s="103">
        <f t="shared" si="6"/>
        <v>50.169373039894552</v>
      </c>
      <c r="J77" s="144">
        <f t="shared" si="7"/>
        <v>-0.16937303989455188</v>
      </c>
      <c r="K77" s="205">
        <f t="shared" si="8"/>
        <v>0</v>
      </c>
      <c r="L77" s="205">
        <f t="shared" si="9"/>
        <v>-3.3874607978910377E-3</v>
      </c>
      <c r="M77" s="203"/>
      <c r="N77" s="203"/>
    </row>
    <row r="78" spans="1:14">
      <c r="A78" s="117">
        <v>63</v>
      </c>
      <c r="B78" s="202">
        <f t="shared" si="1"/>
        <v>598.98376176063266</v>
      </c>
      <c r="C78" s="103">
        <v>0</v>
      </c>
      <c r="D78" s="117">
        <f t="shared" si="12"/>
        <v>119883832.3998809</v>
      </c>
      <c r="E78" s="117">
        <f t="shared" si="2"/>
        <v>190.80104523241366</v>
      </c>
      <c r="F78" s="117">
        <f t="shared" si="3"/>
        <v>-190.9859317102744</v>
      </c>
      <c r="G78" s="117">
        <f t="shared" si="4"/>
        <v>119.8838323998809</v>
      </c>
      <c r="H78" s="103">
        <f t="shared" si="5"/>
        <v>315.03858107681634</v>
      </c>
      <c r="I78" s="103">
        <f t="shared" si="6"/>
        <v>50.139947443032163</v>
      </c>
      <c r="J78" s="144">
        <f t="shared" si="7"/>
        <v>-0.13994744303216322</v>
      </c>
      <c r="K78" s="205">
        <f t="shared" si="8"/>
        <v>0</v>
      </c>
      <c r="L78" s="205">
        <f t="shared" si="9"/>
        <v>-2.7989488606432644E-3</v>
      </c>
      <c r="M78" s="203"/>
      <c r="N78" s="203"/>
    </row>
    <row r="79" spans="1:14">
      <c r="A79" s="117">
        <v>64</v>
      </c>
      <c r="B79" s="202">
        <f t="shared" si="1"/>
        <v>599.16031534180706</v>
      </c>
      <c r="C79" s="103">
        <v>0</v>
      </c>
      <c r="D79" s="117">
        <f t="shared" ref="D79:D99" si="13">$L$4*($L$5*B79+D78)</f>
        <v>119866575.95604107</v>
      </c>
      <c r="E79" s="117">
        <f t="shared" si="2"/>
        <v>190.77358074904069</v>
      </c>
      <c r="F79" s="117">
        <f t="shared" si="3"/>
        <v>-190.9859317102744</v>
      </c>
      <c r="G79" s="117">
        <f t="shared" si="4"/>
        <v>119.86657595604107</v>
      </c>
      <c r="H79" s="103">
        <f t="shared" si="5"/>
        <v>314.82623011558263</v>
      </c>
      <c r="I79" s="103">
        <f t="shared" si="6"/>
        <v>50.106150737881499</v>
      </c>
      <c r="J79" s="144">
        <f t="shared" si="7"/>
        <v>-0.10615073788149942</v>
      </c>
      <c r="K79" s="205">
        <f t="shared" si="8"/>
        <v>0</v>
      </c>
      <c r="L79" s="205">
        <f t="shared" si="9"/>
        <v>-2.1230147576299886E-3</v>
      </c>
      <c r="M79" s="203"/>
      <c r="N79" s="203"/>
    </row>
    <row r="80" spans="1:14">
      <c r="A80" s="117">
        <v>65</v>
      </c>
      <c r="B80" s="202">
        <f t="shared" ref="B80:B99" si="14">$B$7+$K$10*J79</f>
        <v>599.36309557271102</v>
      </c>
      <c r="C80" s="103">
        <v>0</v>
      </c>
      <c r="D80" s="117">
        <f t="shared" si="13"/>
        <v>119868590.3422081</v>
      </c>
      <c r="E80" s="117">
        <f t="shared" ref="E80:E99" si="15">$L$6*D80</f>
        <v>190.77678674419849</v>
      </c>
      <c r="F80" s="117">
        <f t="shared" ref="F80:F99" si="16">- $L$7-C80*$L$6</f>
        <v>-190.9859317102744</v>
      </c>
      <c r="G80" s="117">
        <f t="shared" ref="G80:G99" si="17">D80/1000000</f>
        <v>119.86859034220811</v>
      </c>
      <c r="H80" s="103">
        <f t="shared" ref="H80:H99" si="18">$L$6*D80 - $L$7 +H79 - C80*$B$10/(2*PI()*$B$4*$B$6)</f>
        <v>314.61708514950669</v>
      </c>
      <c r="I80" s="103">
        <f t="shared" ref="I80:I99" si="19">H80/(2*PI())</f>
        <v>50.072864282707727</v>
      </c>
      <c r="J80" s="144">
        <f t="shared" ref="J80:J99" si="20">$B$4-I80</f>
        <v>-7.2864282707726602E-2</v>
      </c>
      <c r="K80" s="205">
        <f t="shared" ref="K80:K99" si="21">C80/($B$3*1000000)</f>
        <v>0</v>
      </c>
      <c r="L80" s="205">
        <f t="shared" ref="L80:L99" si="22">J80/$B$4</f>
        <v>-1.457285654154532E-3</v>
      </c>
      <c r="M80" s="203"/>
      <c r="N80" s="203"/>
    </row>
    <row r="81" spans="1:14">
      <c r="A81" s="117">
        <v>66</v>
      </c>
      <c r="B81" s="202">
        <f t="shared" si="14"/>
        <v>599.56281430375361</v>
      </c>
      <c r="C81" s="103">
        <v>0</v>
      </c>
      <c r="D81" s="117">
        <f t="shared" si="13"/>
        <v>119883247.84838897</v>
      </c>
      <c r="E81" s="117">
        <f t="shared" si="15"/>
        <v>190.80011488981933</v>
      </c>
      <c r="F81" s="117">
        <f t="shared" si="16"/>
        <v>-190.9859317102744</v>
      </c>
      <c r="G81" s="117">
        <f t="shared" si="17"/>
        <v>119.88324784838898</v>
      </c>
      <c r="H81" s="103">
        <f t="shared" si="18"/>
        <v>314.43126832905159</v>
      </c>
      <c r="I81" s="103">
        <f t="shared" si="19"/>
        <v>50.043290617222681</v>
      </c>
      <c r="J81" s="144">
        <f t="shared" si="20"/>
        <v>-4.3290617222680794E-2</v>
      </c>
      <c r="K81" s="205">
        <f t="shared" si="21"/>
        <v>0</v>
      </c>
      <c r="L81" s="205">
        <f t="shared" si="22"/>
        <v>-8.658123444536159E-4</v>
      </c>
      <c r="M81" s="203"/>
      <c r="N81" s="203"/>
    </row>
    <row r="82" spans="1:14">
      <c r="A82" s="117">
        <v>67</v>
      </c>
      <c r="B82" s="202">
        <f t="shared" si="14"/>
        <v>599.74025629666392</v>
      </c>
      <c r="C82" s="103">
        <v>0</v>
      </c>
      <c r="D82" s="117">
        <f t="shared" si="13"/>
        <v>119904848.98537023</v>
      </c>
      <c r="E82" s="117">
        <f t="shared" si="15"/>
        <v>190.83449416708905</v>
      </c>
      <c r="F82" s="117">
        <f t="shared" si="16"/>
        <v>-190.9859317102744</v>
      </c>
      <c r="G82" s="117">
        <f t="shared" si="17"/>
        <v>119.90484898537024</v>
      </c>
      <c r="H82" s="103">
        <f t="shared" si="18"/>
        <v>314.27983078586624</v>
      </c>
      <c r="I82" s="103">
        <f t="shared" si="19"/>
        <v>50.019188583655037</v>
      </c>
      <c r="J82" s="144">
        <f t="shared" si="20"/>
        <v>-1.918858365503695E-2</v>
      </c>
      <c r="K82" s="205">
        <f t="shared" si="21"/>
        <v>0</v>
      </c>
      <c r="L82" s="205">
        <f t="shared" si="22"/>
        <v>-3.8377167310073903E-4</v>
      </c>
      <c r="M82" s="203"/>
      <c r="N82" s="203"/>
    </row>
    <row r="83" spans="1:14">
      <c r="A83" s="117">
        <v>68</v>
      </c>
      <c r="B83" s="202">
        <f t="shared" si="14"/>
        <v>599.88486849806975</v>
      </c>
      <c r="C83" s="103">
        <v>0</v>
      </c>
      <c r="D83" s="117">
        <f t="shared" si="13"/>
        <v>119928890.55678481</v>
      </c>
      <c r="E83" s="117">
        <f t="shared" si="15"/>
        <v>190.87275751639231</v>
      </c>
      <c r="F83" s="117">
        <f t="shared" si="16"/>
        <v>-190.9859317102744</v>
      </c>
      <c r="G83" s="117">
        <f t="shared" si="17"/>
        <v>119.92889055678481</v>
      </c>
      <c r="H83" s="103">
        <f t="shared" si="18"/>
        <v>314.16665659198418</v>
      </c>
      <c r="I83" s="103">
        <f t="shared" si="19"/>
        <v>50.001176351268271</v>
      </c>
      <c r="J83" s="144">
        <f t="shared" si="20"/>
        <v>-1.1763512682705368E-3</v>
      </c>
      <c r="K83" s="205">
        <f t="shared" si="21"/>
        <v>0</v>
      </c>
      <c r="L83" s="205">
        <f t="shared" si="22"/>
        <v>-2.3527025365410737E-5</v>
      </c>
      <c r="M83" s="203"/>
      <c r="N83" s="203"/>
    </row>
    <row r="84" spans="1:14">
      <c r="A84" s="117">
        <v>69</v>
      </c>
      <c r="B84" s="202">
        <f t="shared" si="14"/>
        <v>599.99294189239038</v>
      </c>
      <c r="C84" s="103">
        <v>0</v>
      </c>
      <c r="D84" s="117">
        <f t="shared" si="13"/>
        <v>119952123.16401589</v>
      </c>
      <c r="E84" s="117">
        <f t="shared" si="15"/>
        <v>190.90973335920972</v>
      </c>
      <c r="F84" s="117">
        <f t="shared" si="16"/>
        <v>-190.9859317102744</v>
      </c>
      <c r="G84" s="117">
        <f t="shared" si="17"/>
        <v>119.95212316401589</v>
      </c>
      <c r="H84" s="103">
        <f t="shared" si="18"/>
        <v>314.09045824091947</v>
      </c>
      <c r="I84" s="103">
        <f t="shared" si="19"/>
        <v>49.989049007040869</v>
      </c>
      <c r="J84" s="144">
        <f t="shared" si="20"/>
        <v>1.0950992959131156E-2</v>
      </c>
      <c r="K84" s="205">
        <f t="shared" si="21"/>
        <v>0</v>
      </c>
      <c r="L84" s="205">
        <f t="shared" si="22"/>
        <v>2.1901985918262312E-4</v>
      </c>
      <c r="M84" s="203"/>
      <c r="N84" s="203"/>
    </row>
    <row r="85" spans="1:14">
      <c r="A85" s="117">
        <v>70</v>
      </c>
      <c r="B85" s="202">
        <f t="shared" si="14"/>
        <v>600.06570595775474</v>
      </c>
      <c r="C85" s="103">
        <v>0</v>
      </c>
      <c r="D85" s="117">
        <f t="shared" si="13"/>
        <v>119972462.50652757</v>
      </c>
      <c r="E85" s="117">
        <f t="shared" si="15"/>
        <v>190.94210442820946</v>
      </c>
      <c r="F85" s="117">
        <f t="shared" si="16"/>
        <v>-190.9859317102744</v>
      </c>
      <c r="G85" s="117">
        <f t="shared" si="17"/>
        <v>119.97246250652758</v>
      </c>
      <c r="H85" s="103">
        <f t="shared" si="18"/>
        <v>314.04663095885451</v>
      </c>
      <c r="I85" s="103">
        <f t="shared" si="19"/>
        <v>49.982073678457944</v>
      </c>
      <c r="J85" s="144">
        <f t="shared" si="20"/>
        <v>1.7926321542056201E-2</v>
      </c>
      <c r="K85" s="205">
        <f t="shared" si="21"/>
        <v>0</v>
      </c>
      <c r="L85" s="205">
        <f t="shared" si="22"/>
        <v>3.5852643084112402E-4</v>
      </c>
      <c r="M85" s="203"/>
      <c r="N85" s="203"/>
    </row>
    <row r="86" spans="1:14">
      <c r="A86" s="117">
        <v>71</v>
      </c>
      <c r="B86" s="202">
        <f t="shared" si="14"/>
        <v>600.10755792925238</v>
      </c>
      <c r="C86" s="103">
        <v>0</v>
      </c>
      <c r="D86" s="117">
        <f t="shared" si="13"/>
        <v>119988812.19963521</v>
      </c>
      <c r="E86" s="117">
        <f t="shared" si="15"/>
        <v>190.96812577297061</v>
      </c>
      <c r="F86" s="117">
        <f t="shared" si="16"/>
        <v>-190.9859317102744</v>
      </c>
      <c r="G86" s="117">
        <f t="shared" si="17"/>
        <v>119.98881219963521</v>
      </c>
      <c r="H86" s="103">
        <f t="shared" si="18"/>
        <v>314.02882502155069</v>
      </c>
      <c r="I86" s="103">
        <f t="shared" si="19"/>
        <v>49.979239775519659</v>
      </c>
      <c r="J86" s="144">
        <f t="shared" si="20"/>
        <v>2.0760224480341094E-2</v>
      </c>
      <c r="K86" s="205">
        <f t="shared" si="21"/>
        <v>0</v>
      </c>
      <c r="L86" s="205">
        <f t="shared" si="22"/>
        <v>4.152044896068219E-4</v>
      </c>
      <c r="M86" s="203"/>
      <c r="N86" s="203"/>
    </row>
    <row r="87" spans="1:14">
      <c r="A87" s="117">
        <v>72</v>
      </c>
      <c r="B87" s="202">
        <f t="shared" si="14"/>
        <v>600.12456134688205</v>
      </c>
      <c r="C87" s="103">
        <v>0</v>
      </c>
      <c r="D87" s="117">
        <f t="shared" si="13"/>
        <v>120000845.5562156</v>
      </c>
      <c r="E87" s="117">
        <f t="shared" si="15"/>
        <v>190.98727745478817</v>
      </c>
      <c r="F87" s="117">
        <f t="shared" si="16"/>
        <v>-190.9859317102744</v>
      </c>
      <c r="G87" s="117">
        <f t="shared" si="17"/>
        <v>120.00084555621559</v>
      </c>
      <c r="H87" s="103">
        <f t="shared" si="18"/>
        <v>314.03017076606443</v>
      </c>
      <c r="I87" s="103">
        <f t="shared" si="19"/>
        <v>49.97945395741116</v>
      </c>
      <c r="J87" s="144">
        <f t="shared" si="20"/>
        <v>2.0546042588840407E-2</v>
      </c>
      <c r="K87" s="205">
        <f t="shared" si="21"/>
        <v>0</v>
      </c>
      <c r="L87" s="205">
        <f t="shared" si="22"/>
        <v>4.1092085177680816E-4</v>
      </c>
      <c r="M87" s="203"/>
      <c r="N87" s="203"/>
    </row>
    <row r="88" spans="1:14">
      <c r="A88" s="117">
        <v>73</v>
      </c>
      <c r="B88" s="202">
        <f t="shared" si="14"/>
        <v>600.12327625553303</v>
      </c>
      <c r="C88" s="103">
        <v>0</v>
      </c>
      <c r="D88" s="117">
        <f t="shared" si="13"/>
        <v>120008782.12117925</v>
      </c>
      <c r="E88" s="117">
        <f t="shared" si="15"/>
        <v>190.99990889023954</v>
      </c>
      <c r="F88" s="117">
        <f t="shared" si="16"/>
        <v>-190.9859317102744</v>
      </c>
      <c r="G88" s="117">
        <f t="shared" si="17"/>
        <v>120.00878212117925</v>
      </c>
      <c r="H88" s="103">
        <f t="shared" si="18"/>
        <v>314.04414794602957</v>
      </c>
      <c r="I88" s="103">
        <f t="shared" si="19"/>
        <v>49.981678494693099</v>
      </c>
      <c r="J88" s="144">
        <f t="shared" si="20"/>
        <v>1.8321505306900576E-2</v>
      </c>
      <c r="K88" s="205">
        <f t="shared" si="21"/>
        <v>0</v>
      </c>
      <c r="L88" s="205">
        <f t="shared" si="22"/>
        <v>3.6643010613801152E-4</v>
      </c>
      <c r="M88" s="203"/>
      <c r="N88" s="203"/>
    </row>
    <row r="89" spans="1:14">
      <c r="A89" s="117">
        <v>74</v>
      </c>
      <c r="B89" s="202">
        <f t="shared" si="14"/>
        <v>600.10992903184138</v>
      </c>
      <c r="C89" s="103">
        <v>0</v>
      </c>
      <c r="D89" s="117">
        <f t="shared" si="13"/>
        <v>120013183.34957559</v>
      </c>
      <c r="E89" s="117">
        <f t="shared" si="15"/>
        <v>191.00691366278906</v>
      </c>
      <c r="F89" s="117">
        <f t="shared" si="16"/>
        <v>-190.9859317102744</v>
      </c>
      <c r="G89" s="117">
        <f t="shared" si="17"/>
        <v>120.0131833495756</v>
      </c>
      <c r="H89" s="103">
        <f t="shared" si="18"/>
        <v>314.06512989854423</v>
      </c>
      <c r="I89" s="103">
        <f t="shared" si="19"/>
        <v>49.985017876151524</v>
      </c>
      <c r="J89" s="144">
        <f t="shared" si="20"/>
        <v>1.4982123848476192E-2</v>
      </c>
      <c r="K89" s="205">
        <f t="shared" si="21"/>
        <v>0</v>
      </c>
      <c r="L89" s="205">
        <f t="shared" si="22"/>
        <v>2.9964247696952386E-4</v>
      </c>
      <c r="M89" s="203"/>
      <c r="N89" s="203"/>
    </row>
    <row r="90" spans="1:14">
      <c r="A90" s="117">
        <v>75</v>
      </c>
      <c r="B90" s="202">
        <f t="shared" si="14"/>
        <v>600.0898927430909</v>
      </c>
      <c r="C90" s="103">
        <v>0</v>
      </c>
      <c r="D90" s="117">
        <f t="shared" si="13"/>
        <v>120014781.74925645</v>
      </c>
      <c r="E90" s="117">
        <f t="shared" si="15"/>
        <v>191.0094575948915</v>
      </c>
      <c r="F90" s="117">
        <f t="shared" si="16"/>
        <v>-190.9859317102744</v>
      </c>
      <c r="G90" s="117">
        <f t="shared" si="17"/>
        <v>120.01478174925644</v>
      </c>
      <c r="H90" s="103">
        <f t="shared" si="18"/>
        <v>314.08865578316136</v>
      </c>
      <c r="I90" s="103">
        <f t="shared" si="19"/>
        <v>49.988762136978949</v>
      </c>
      <c r="J90" s="144">
        <f t="shared" si="20"/>
        <v>1.1237863021051453E-2</v>
      </c>
      <c r="K90" s="205">
        <f t="shared" si="21"/>
        <v>0</v>
      </c>
      <c r="L90" s="205">
        <f t="shared" si="22"/>
        <v>2.2475726042102905E-4</v>
      </c>
      <c r="M90" s="203"/>
      <c r="N90" s="203"/>
    </row>
    <row r="91" spans="1:14">
      <c r="A91" s="117">
        <v>76</v>
      </c>
      <c r="B91" s="202">
        <f t="shared" si="14"/>
        <v>600.06742717812631</v>
      </c>
      <c r="C91" s="103">
        <v>0</v>
      </c>
      <c r="D91" s="117">
        <f t="shared" si="13"/>
        <v>120014349.64471272</v>
      </c>
      <c r="E91" s="117">
        <f t="shared" si="15"/>
        <v>191.00876987915083</v>
      </c>
      <c r="F91" s="117">
        <f t="shared" si="16"/>
        <v>-190.9859317102744</v>
      </c>
      <c r="G91" s="117">
        <f t="shared" si="17"/>
        <v>120.01434964471272</v>
      </c>
      <c r="H91" s="103">
        <f t="shared" si="18"/>
        <v>314.11149395203779</v>
      </c>
      <c r="I91" s="103">
        <f t="shared" si="19"/>
        <v>49.992396944446803</v>
      </c>
      <c r="J91" s="144">
        <f t="shared" si="20"/>
        <v>7.60305555319718E-3</v>
      </c>
      <c r="K91" s="205">
        <f t="shared" si="21"/>
        <v>0</v>
      </c>
      <c r="L91" s="205">
        <f t="shared" si="22"/>
        <v>1.520611110639436E-4</v>
      </c>
      <c r="M91" s="203"/>
      <c r="N91" s="203"/>
    </row>
    <row r="92" spans="1:14">
      <c r="A92" s="117">
        <v>77</v>
      </c>
      <c r="B92" s="202">
        <f t="shared" si="14"/>
        <v>600.04561833331923</v>
      </c>
      <c r="C92" s="103">
        <v>0</v>
      </c>
      <c r="D92" s="117">
        <f t="shared" si="13"/>
        <v>120012607.65202975</v>
      </c>
      <c r="E92" s="117">
        <f t="shared" si="15"/>
        <v>191.00599741168759</v>
      </c>
      <c r="F92" s="117">
        <f t="shared" si="16"/>
        <v>-190.9859317102744</v>
      </c>
      <c r="G92" s="117">
        <f t="shared" si="17"/>
        <v>120.01260765202976</v>
      </c>
      <c r="H92" s="103">
        <f t="shared" si="18"/>
        <v>314.13155965345095</v>
      </c>
      <c r="I92" s="103">
        <f t="shared" si="19"/>
        <v>49.995590500013314</v>
      </c>
      <c r="J92" s="144">
        <f t="shared" si="20"/>
        <v>4.4094999866857165E-3</v>
      </c>
      <c r="K92" s="205">
        <f t="shared" si="21"/>
        <v>0</v>
      </c>
      <c r="L92" s="205">
        <f t="shared" si="22"/>
        <v>8.818999973371433E-5</v>
      </c>
      <c r="M92" s="203"/>
      <c r="N92" s="203"/>
    </row>
    <row r="93" spans="1:14">
      <c r="A93" s="117">
        <v>78</v>
      </c>
      <c r="B93" s="202">
        <f t="shared" si="14"/>
        <v>600.02645699992013</v>
      </c>
      <c r="C93" s="103">
        <v>0</v>
      </c>
      <c r="D93" s="117">
        <f t="shared" si="13"/>
        <v>120010168.90134783</v>
      </c>
      <c r="E93" s="117">
        <f t="shared" si="15"/>
        <v>191.00211601942763</v>
      </c>
      <c r="F93" s="117">
        <f t="shared" si="16"/>
        <v>-190.9859317102744</v>
      </c>
      <c r="G93" s="117">
        <f t="shared" si="17"/>
        <v>120.01016890134782</v>
      </c>
      <c r="H93" s="103">
        <f t="shared" si="18"/>
        <v>314.14774396260418</v>
      </c>
      <c r="I93" s="103">
        <f t="shared" si="19"/>
        <v>49.998166312815577</v>
      </c>
      <c r="J93" s="144">
        <f t="shared" si="20"/>
        <v>1.8336871844226721E-3</v>
      </c>
      <c r="K93" s="205">
        <f t="shared" si="21"/>
        <v>0</v>
      </c>
      <c r="L93" s="205">
        <f t="shared" si="22"/>
        <v>3.6673743688453443E-5</v>
      </c>
      <c r="M93" s="203"/>
      <c r="N93" s="203"/>
    </row>
    <row r="94" spans="1:14">
      <c r="A94" s="117">
        <v>79</v>
      </c>
      <c r="B94" s="202">
        <f t="shared" si="14"/>
        <v>600.01100212310655</v>
      </c>
      <c r="C94" s="103">
        <v>0</v>
      </c>
      <c r="D94" s="117">
        <f t="shared" si="13"/>
        <v>120007512.74243899</v>
      </c>
      <c r="E94" s="117">
        <f t="shared" si="15"/>
        <v>190.99788861122784</v>
      </c>
      <c r="F94" s="117">
        <f t="shared" si="16"/>
        <v>-190.9859317102744</v>
      </c>
      <c r="G94" s="117">
        <f t="shared" si="17"/>
        <v>120.00751274243899</v>
      </c>
      <c r="H94" s="103">
        <f t="shared" si="18"/>
        <v>314.15970086355765</v>
      </c>
      <c r="I94" s="103">
        <f t="shared" si="19"/>
        <v>50.00006931270638</v>
      </c>
      <c r="J94" s="144">
        <f t="shared" si="20"/>
        <v>-6.9312706379776046E-5</v>
      </c>
      <c r="K94" s="205">
        <f t="shared" si="21"/>
        <v>0</v>
      </c>
      <c r="L94" s="205">
        <f t="shared" si="22"/>
        <v>-1.3862541275955208E-6</v>
      </c>
      <c r="M94" s="203"/>
      <c r="N94" s="203"/>
    </row>
    <row r="95" spans="1:14">
      <c r="A95" s="117">
        <v>80</v>
      </c>
      <c r="B95" s="202">
        <f t="shared" si="14"/>
        <v>599.99958412376168</v>
      </c>
      <c r="C95" s="103">
        <v>0</v>
      </c>
      <c r="D95" s="117">
        <f t="shared" si="13"/>
        <v>120004980.76987675</v>
      </c>
      <c r="E95" s="117">
        <f t="shared" si="15"/>
        <v>190.99385885173731</v>
      </c>
      <c r="F95" s="117">
        <f t="shared" si="16"/>
        <v>-190.9859317102744</v>
      </c>
      <c r="G95" s="117">
        <f t="shared" si="17"/>
        <v>120.00498076987675</v>
      </c>
      <c r="H95" s="103">
        <f t="shared" si="18"/>
        <v>314.16762800502056</v>
      </c>
      <c r="I95" s="103">
        <f t="shared" si="19"/>
        <v>50.001330956454794</v>
      </c>
      <c r="J95" s="144">
        <f t="shared" si="20"/>
        <v>-1.3309564547938635E-3</v>
      </c>
      <c r="K95" s="205">
        <f t="shared" si="21"/>
        <v>0</v>
      </c>
      <c r="L95" s="205">
        <f t="shared" si="22"/>
        <v>-2.6619129095877269E-5</v>
      </c>
      <c r="M95" s="203"/>
      <c r="N95" s="203"/>
    </row>
    <row r="96" spans="1:14">
      <c r="A96" s="117">
        <v>81</v>
      </c>
      <c r="B96" s="202">
        <f t="shared" si="14"/>
        <v>599.99201426127127</v>
      </c>
      <c r="C96" s="103">
        <v>0</v>
      </c>
      <c r="D96" s="117">
        <f t="shared" si="13"/>
        <v>120002788.13066925</v>
      </c>
      <c r="E96" s="117">
        <f t="shared" si="15"/>
        <v>190.99036915805439</v>
      </c>
      <c r="F96" s="117">
        <f t="shared" si="16"/>
        <v>-190.9859317102744</v>
      </c>
      <c r="G96" s="117">
        <f t="shared" si="17"/>
        <v>120.00278813066924</v>
      </c>
      <c r="H96" s="103">
        <f t="shared" si="18"/>
        <v>314.17206545280055</v>
      </c>
      <c r="I96" s="103">
        <f t="shared" si="19"/>
        <v>50.002037198203688</v>
      </c>
      <c r="J96" s="144">
        <f t="shared" si="20"/>
        <v>-2.0371982036877512E-3</v>
      </c>
      <c r="K96" s="205">
        <f t="shared" si="21"/>
        <v>0</v>
      </c>
      <c r="L96" s="205">
        <f t="shared" si="22"/>
        <v>-4.0743964073755024E-5</v>
      </c>
      <c r="M96" s="203"/>
      <c r="N96" s="203"/>
    </row>
    <row r="97" spans="1:14">
      <c r="A97" s="117">
        <v>82</v>
      </c>
      <c r="B97" s="202">
        <f t="shared" si="14"/>
        <v>599.98777681077786</v>
      </c>
      <c r="C97" s="103">
        <v>0</v>
      </c>
      <c r="D97" s="117">
        <f t="shared" si="13"/>
        <v>120001043.87449802</v>
      </c>
      <c r="E97" s="117">
        <f t="shared" si="15"/>
        <v>190.98759308813771</v>
      </c>
      <c r="F97" s="117">
        <f t="shared" si="16"/>
        <v>-190.9859317102744</v>
      </c>
      <c r="G97" s="117">
        <f t="shared" si="17"/>
        <v>120.00104387449802</v>
      </c>
      <c r="H97" s="103">
        <f t="shared" si="18"/>
        <v>314.1737268306639</v>
      </c>
      <c r="I97" s="103">
        <f t="shared" si="19"/>
        <v>50.002301614702986</v>
      </c>
      <c r="J97" s="144">
        <f t="shared" si="20"/>
        <v>-2.3016147029863987E-3</v>
      </c>
      <c r="K97" s="205">
        <f t="shared" si="21"/>
        <v>0</v>
      </c>
      <c r="L97" s="205">
        <f t="shared" si="22"/>
        <v>-4.6032294059727973E-5</v>
      </c>
      <c r="M97" s="203"/>
      <c r="N97" s="203"/>
    </row>
    <row r="98" spans="1:14">
      <c r="A98" s="117">
        <v>83</v>
      </c>
      <c r="B98" s="202">
        <f t="shared" si="14"/>
        <v>599.98619031178214</v>
      </c>
      <c r="C98" s="103">
        <v>0</v>
      </c>
      <c r="D98" s="117">
        <f t="shared" si="13"/>
        <v>119999775.27045083</v>
      </c>
      <c r="E98" s="117">
        <f t="shared" si="15"/>
        <v>190.98557404208833</v>
      </c>
      <c r="F98" s="117">
        <f t="shared" si="16"/>
        <v>-190.9859317102744</v>
      </c>
      <c r="G98" s="117">
        <f t="shared" si="17"/>
        <v>119.99977527045083</v>
      </c>
      <c r="H98" s="103">
        <f t="shared" si="18"/>
        <v>314.1733691624778</v>
      </c>
      <c r="I98" s="103">
        <f t="shared" si="19"/>
        <v>50.002244690043177</v>
      </c>
      <c r="J98" s="144">
        <f t="shared" si="20"/>
        <v>-2.2446900431773997E-3</v>
      </c>
      <c r="K98" s="205">
        <f t="shared" si="21"/>
        <v>0</v>
      </c>
      <c r="L98" s="205">
        <f t="shared" si="22"/>
        <v>-4.4893800863547996E-5</v>
      </c>
      <c r="M98" s="203"/>
      <c r="N98" s="203"/>
    </row>
    <row r="99" spans="1:14">
      <c r="A99" s="117">
        <v>84</v>
      </c>
      <c r="B99" s="202">
        <f t="shared" si="14"/>
        <v>599.98653185974092</v>
      </c>
      <c r="C99" s="103">
        <v>0</v>
      </c>
      <c r="D99" s="117">
        <f t="shared" si="13"/>
        <v>119998952.30428328</v>
      </c>
      <c r="E99" s="117">
        <f t="shared" si="15"/>
        <v>190.98426425075269</v>
      </c>
      <c r="F99" s="117">
        <f t="shared" si="16"/>
        <v>-190.9859317102744</v>
      </c>
      <c r="G99" s="117">
        <f t="shared" si="17"/>
        <v>119.99895230428328</v>
      </c>
      <c r="H99" s="103">
        <f t="shared" si="18"/>
        <v>314.17170170295606</v>
      </c>
      <c r="I99" s="103">
        <f t="shared" si="19"/>
        <v>50.001979305617887</v>
      </c>
      <c r="J99" s="144">
        <f t="shared" si="20"/>
        <v>-1.9793056178869506E-3</v>
      </c>
      <c r="K99" s="205">
        <f t="shared" si="21"/>
        <v>0</v>
      </c>
      <c r="L99" s="205">
        <f t="shared" si="22"/>
        <v>-3.9586112357739008E-5</v>
      </c>
      <c r="M99" s="203"/>
      <c r="N99" s="203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workbookViewId="0">
      <selection activeCell="B7" sqref="B7"/>
    </sheetView>
  </sheetViews>
  <sheetFormatPr baseColWidth="10" defaultRowHeight="15" x14ac:dyDescent="0"/>
  <cols>
    <col min="6" max="6" width="13" customWidth="1"/>
    <col min="7" max="7" width="14.6640625" customWidth="1"/>
    <col min="8" max="10" width="13" customWidth="1"/>
    <col min="13" max="14" width="11.83203125" customWidth="1"/>
    <col min="15" max="15" width="12.1640625" bestFit="1" customWidth="1"/>
  </cols>
  <sheetData>
    <row r="1" spans="1:18">
      <c r="A1" t="s">
        <v>386</v>
      </c>
      <c r="G1" t="s">
        <v>395</v>
      </c>
      <c r="K1" t="s">
        <v>388</v>
      </c>
      <c r="L1" t="s">
        <v>433</v>
      </c>
      <c r="P1" s="2" t="s">
        <v>291</v>
      </c>
      <c r="Q1" s="3"/>
      <c r="R1" s="4"/>
    </row>
    <row r="2" spans="1:18">
      <c r="G2" t="s">
        <v>396</v>
      </c>
      <c r="L2" t="s">
        <v>434</v>
      </c>
      <c r="P2" s="5" t="s">
        <v>429</v>
      </c>
      <c r="Q2" s="107">
        <v>6</v>
      </c>
      <c r="R2" s="7" t="s">
        <v>394</v>
      </c>
    </row>
    <row r="3" spans="1:18" ht="16" thickBot="1">
      <c r="A3" t="s">
        <v>417</v>
      </c>
      <c r="B3" s="145">
        <v>120</v>
      </c>
      <c r="C3" t="s">
        <v>387</v>
      </c>
      <c r="D3" t="s">
        <v>423</v>
      </c>
      <c r="E3" s="145">
        <v>80</v>
      </c>
      <c r="F3" t="s">
        <v>387</v>
      </c>
      <c r="G3" t="s">
        <v>397</v>
      </c>
      <c r="L3" t="s">
        <v>440</v>
      </c>
      <c r="P3" s="8" t="s">
        <v>430</v>
      </c>
      <c r="Q3" s="109">
        <v>6</v>
      </c>
      <c r="R3" s="11" t="s">
        <v>394</v>
      </c>
    </row>
    <row r="4" spans="1:18">
      <c r="A4" t="s">
        <v>293</v>
      </c>
      <c r="B4" s="145">
        <v>50</v>
      </c>
      <c r="C4" t="s">
        <v>35</v>
      </c>
      <c r="E4" s="131"/>
    </row>
    <row r="5" spans="1:18">
      <c r="A5" t="s">
        <v>418</v>
      </c>
      <c r="B5" s="201">
        <f>1000000*B3/(2*PI()*B4)</f>
        <v>381971.86342054879</v>
      </c>
      <c r="C5" t="s">
        <v>32</v>
      </c>
      <c r="D5" t="s">
        <v>424</v>
      </c>
      <c r="E5" s="201">
        <f>1000000*E3/(2*PI()*B4)</f>
        <v>254647.90894703253</v>
      </c>
      <c r="F5" t="s">
        <v>32</v>
      </c>
      <c r="G5" s="201" t="s">
        <v>401</v>
      </c>
      <c r="H5" s="201">
        <f>B5+E5</f>
        <v>636619.77236758126</v>
      </c>
      <c r="I5" s="201" t="s">
        <v>32</v>
      </c>
      <c r="J5" s="201">
        <f>H5*2*PI()*50</f>
        <v>199999999.99999997</v>
      </c>
      <c r="L5" t="s">
        <v>431</v>
      </c>
      <c r="M5">
        <f>1/(1+B10/B9)</f>
        <v>0.66666666666666663</v>
      </c>
    </row>
    <row r="6" spans="1:18">
      <c r="A6" t="s">
        <v>419</v>
      </c>
      <c r="B6" s="145">
        <v>2000</v>
      </c>
      <c r="C6" t="s">
        <v>2</v>
      </c>
      <c r="D6" t="s">
        <v>425</v>
      </c>
      <c r="E6" s="145">
        <v>1600</v>
      </c>
      <c r="F6" t="s">
        <v>2</v>
      </c>
      <c r="G6" s="131" t="s">
        <v>411</v>
      </c>
      <c r="H6">
        <f>B6+E6</f>
        <v>3600</v>
      </c>
      <c r="I6" t="s">
        <v>2</v>
      </c>
      <c r="L6" t="s">
        <v>432</v>
      </c>
      <c r="M6">
        <f>B8*B10*1000000</f>
        <v>100000</v>
      </c>
    </row>
    <row r="7" spans="1:18">
      <c r="A7" t="s">
        <v>420</v>
      </c>
      <c r="B7" s="145">
        <v>600</v>
      </c>
      <c r="C7" t="s">
        <v>259</v>
      </c>
      <c r="D7" t="s">
        <v>426</v>
      </c>
      <c r="E7" s="145">
        <v>400</v>
      </c>
      <c r="F7" t="s">
        <v>259</v>
      </c>
      <c r="G7" s="131"/>
      <c r="L7" t="s">
        <v>435</v>
      </c>
      <c r="M7">
        <f>1/(1+B10/E9)</f>
        <v>0.66666666666666663</v>
      </c>
    </row>
    <row r="8" spans="1:18">
      <c r="A8" t="s">
        <v>421</v>
      </c>
      <c r="B8" s="145">
        <v>0.1</v>
      </c>
      <c r="C8" t="s">
        <v>402</v>
      </c>
      <c r="D8" t="s">
        <v>427</v>
      </c>
      <c r="E8" s="145">
        <v>0.1</v>
      </c>
      <c r="F8" t="s">
        <v>402</v>
      </c>
      <c r="G8" s="131"/>
      <c r="L8" t="s">
        <v>436</v>
      </c>
      <c r="M8">
        <f>B10*E8*1000000</f>
        <v>100000</v>
      </c>
    </row>
    <row r="9" spans="1:18">
      <c r="A9" t="s">
        <v>422</v>
      </c>
      <c r="B9" s="145">
        <v>2</v>
      </c>
      <c r="C9" t="s">
        <v>34</v>
      </c>
      <c r="D9" t="s">
        <v>428</v>
      </c>
      <c r="E9" s="145">
        <v>2</v>
      </c>
      <c r="F9" t="s">
        <v>34</v>
      </c>
      <c r="G9" s="131"/>
    </row>
    <row r="10" spans="1:18">
      <c r="A10" t="s">
        <v>210</v>
      </c>
      <c r="B10" s="145">
        <v>1</v>
      </c>
      <c r="C10" t="s">
        <v>34</v>
      </c>
      <c r="L10" t="s">
        <v>410</v>
      </c>
      <c r="M10">
        <f>B10/(H6*B4*2*PI())</f>
        <v>8.8419412828830738E-7</v>
      </c>
    </row>
    <row r="11" spans="1:18">
      <c r="A11" t="s">
        <v>391</v>
      </c>
      <c r="B11" s="145">
        <v>1.2</v>
      </c>
      <c r="C11" t="s">
        <v>387</v>
      </c>
      <c r="L11" t="s">
        <v>408</v>
      </c>
      <c r="M11">
        <f>H5*B10/H6</f>
        <v>176.83882565766146</v>
      </c>
    </row>
    <row r="13" spans="1:18">
      <c r="A13" s="64" t="s">
        <v>17</v>
      </c>
      <c r="B13" s="64" t="s">
        <v>439</v>
      </c>
      <c r="C13" s="64" t="s">
        <v>443</v>
      </c>
      <c r="D13" s="64" t="s">
        <v>390</v>
      </c>
      <c r="E13" s="64" t="s">
        <v>437</v>
      </c>
      <c r="F13" s="64" t="s">
        <v>438</v>
      </c>
      <c r="G13" s="64" t="s">
        <v>413</v>
      </c>
      <c r="H13" s="64" t="s">
        <v>407</v>
      </c>
      <c r="I13" s="204" t="s">
        <v>441</v>
      </c>
      <c r="J13" s="204" t="s">
        <v>442</v>
      </c>
      <c r="K13" s="64" t="s">
        <v>209</v>
      </c>
      <c r="L13" s="64" t="s">
        <v>416</v>
      </c>
      <c r="M13" s="64" t="s">
        <v>64</v>
      </c>
      <c r="N13" s="64" t="s">
        <v>414</v>
      </c>
      <c r="O13" s="64" t="s">
        <v>415</v>
      </c>
      <c r="P13" s="64"/>
      <c r="Q13" s="64"/>
    </row>
    <row r="14" spans="1:18">
      <c r="A14" s="148">
        <v>-1</v>
      </c>
      <c r="B14" s="148">
        <f>B7</f>
        <v>600</v>
      </c>
      <c r="C14" s="148">
        <f>E7</f>
        <v>400</v>
      </c>
      <c r="D14" s="145"/>
      <c r="E14" s="148">
        <f>B3*1000000</f>
        <v>120000000</v>
      </c>
      <c r="F14" s="148">
        <f>E3*1000000</f>
        <v>80000000</v>
      </c>
      <c r="G14" s="148"/>
      <c r="H14" s="148"/>
      <c r="I14" s="148">
        <f>E14/1000000</f>
        <v>120</v>
      </c>
      <c r="J14" s="148">
        <f>F14/1000000</f>
        <v>80</v>
      </c>
      <c r="K14" s="148">
        <v>314.16000000000003</v>
      </c>
      <c r="L14" s="156">
        <f>K14/(2*PI())</f>
        <v>50.000116921749843</v>
      </c>
      <c r="M14" s="156"/>
      <c r="N14" s="64"/>
      <c r="O14" s="64"/>
    </row>
    <row r="15" spans="1:18">
      <c r="A15" s="117">
        <v>0</v>
      </c>
      <c r="B15" s="202">
        <f t="shared" ref="B15:B46" si="0">$B$7+$Q$2*M14</f>
        <v>600</v>
      </c>
      <c r="C15" s="202">
        <f>$E$7+$Q$3*M14</f>
        <v>400</v>
      </c>
      <c r="D15" s="117">
        <v>0</v>
      </c>
      <c r="E15" s="117">
        <f>$M$5*($M$6*B15+E14)</f>
        <v>120000000</v>
      </c>
      <c r="F15" s="117">
        <f>$M$7*($M$8*C15+F14)</f>
        <v>80000000</v>
      </c>
      <c r="G15" s="117">
        <f>$M$10*(F15+E15)</f>
        <v>176.83882565766149</v>
      </c>
      <c r="H15" s="117">
        <f t="shared" ref="H15:H46" si="1">- $M$11-D15*$M$10</f>
        <v>-176.83882565766146</v>
      </c>
      <c r="I15" s="117">
        <f>E15/1000000</f>
        <v>120</v>
      </c>
      <c r="J15" s="117">
        <f>F15/1000000</f>
        <v>80</v>
      </c>
      <c r="K15" s="103">
        <f>$M$10*(E15+F15) - $M$11 +K14 - D15*$B$10/(2*PI()*$B$4*$H$6)</f>
        <v>314.16000000000008</v>
      </c>
      <c r="L15" s="103">
        <f>K15/(2*PI())</f>
        <v>50.000116921749857</v>
      </c>
      <c r="M15" s="144">
        <f>$B$4-L15</f>
        <v>-1.169217498571129E-4</v>
      </c>
      <c r="N15" s="205">
        <f>D15/(($B$3+$E$3)*1000000)</f>
        <v>0</v>
      </c>
      <c r="O15" s="205">
        <f>M15/$B$4</f>
        <v>-2.338434997142258E-6</v>
      </c>
      <c r="P15" s="203"/>
      <c r="Q15" s="203"/>
    </row>
    <row r="16" spans="1:18">
      <c r="A16" s="117">
        <v>1</v>
      </c>
      <c r="B16" s="202">
        <f t="shared" si="0"/>
        <v>599.9992984695009</v>
      </c>
      <c r="C16" s="202">
        <f t="shared" ref="C16:C79" si="2">$E$7+$Q$3*M15</f>
        <v>399.99929846950084</v>
      </c>
      <c r="D16" s="117">
        <v>0</v>
      </c>
      <c r="E16" s="117">
        <f t="shared" ref="E16:E79" si="3">$M$5*($M$6*B16+E15)</f>
        <v>119999953.23130006</v>
      </c>
      <c r="F16" s="117">
        <f t="shared" ref="F16:F79" si="4">$M$7*($M$8*C16+F15)</f>
        <v>79999953.231300056</v>
      </c>
      <c r="G16" s="117">
        <f t="shared" ref="G16:G79" si="5">$M$10*(F16+E16)</f>
        <v>176.83874295244172</v>
      </c>
      <c r="H16" s="117">
        <f t="shared" si="1"/>
        <v>-176.83882565766146</v>
      </c>
      <c r="I16" s="117">
        <f t="shared" ref="I16:I79" si="6">E16/1000000</f>
        <v>119.99995323130005</v>
      </c>
      <c r="J16" s="117">
        <f t="shared" ref="J16:J79" si="7">F16/1000000</f>
        <v>79.999953231300054</v>
      </c>
      <c r="K16" s="103">
        <f t="shared" ref="K16:K79" si="8">$M$10*(E16+F16) - $M$11 +K15 - D16*$B$10/(2*PI()*$B$4*$H$6)</f>
        <v>314.15991729478037</v>
      </c>
      <c r="L16" s="103">
        <f t="shared" ref="L16:L79" si="9">K16/(2*PI())</f>
        <v>50.000103758805317</v>
      </c>
      <c r="M16" s="144">
        <f t="shared" ref="M16:M79" si="10">$B$4-L16</f>
        <v>-1.0375880531654502E-4</v>
      </c>
      <c r="N16" s="205">
        <f t="shared" ref="N16:N79" si="11">D16/(($B$3+$E$3)*1000000)</f>
        <v>0</v>
      </c>
      <c r="O16" s="205">
        <f t="shared" ref="O16:O79" si="12">M16/$B$4</f>
        <v>-2.0751761063309006E-6</v>
      </c>
      <c r="P16" s="203"/>
      <c r="Q16" s="203"/>
    </row>
    <row r="17" spans="1:17">
      <c r="A17" s="117">
        <v>2</v>
      </c>
      <c r="B17" s="202">
        <f t="shared" si="0"/>
        <v>599.99937744716806</v>
      </c>
      <c r="C17" s="202">
        <f t="shared" si="2"/>
        <v>399.99937744716811</v>
      </c>
      <c r="D17" s="117">
        <v>0</v>
      </c>
      <c r="E17" s="117">
        <f t="shared" si="3"/>
        <v>119999927.31734458</v>
      </c>
      <c r="F17" s="117">
        <f t="shared" si="4"/>
        <v>79999927.317344576</v>
      </c>
      <c r="G17" s="117">
        <f t="shared" si="5"/>
        <v>176.83869712650716</v>
      </c>
      <c r="H17" s="117">
        <f t="shared" si="1"/>
        <v>-176.83882565766146</v>
      </c>
      <c r="I17" s="117">
        <f t="shared" si="6"/>
        <v>119.99992731734457</v>
      </c>
      <c r="J17" s="117">
        <f t="shared" si="7"/>
        <v>79.999927317344572</v>
      </c>
      <c r="K17" s="103">
        <f t="shared" si="8"/>
        <v>314.15978876362607</v>
      </c>
      <c r="L17" s="103">
        <f t="shared" si="9"/>
        <v>50.000083302436771</v>
      </c>
      <c r="M17" s="144">
        <f t="shared" si="10"/>
        <v>-8.330243677079352E-5</v>
      </c>
      <c r="N17" s="205">
        <f t="shared" si="11"/>
        <v>0</v>
      </c>
      <c r="O17" s="205">
        <f t="shared" si="12"/>
        <v>-1.6660487354158704E-6</v>
      </c>
      <c r="P17" s="203"/>
      <c r="Q17" s="203"/>
    </row>
    <row r="18" spans="1:17">
      <c r="A18" s="117">
        <v>3</v>
      </c>
      <c r="B18" s="202">
        <f t="shared" si="0"/>
        <v>599.99950018537936</v>
      </c>
      <c r="C18" s="202">
        <f t="shared" si="2"/>
        <v>399.99950018537936</v>
      </c>
      <c r="D18" s="117">
        <v>0</v>
      </c>
      <c r="E18" s="117">
        <f t="shared" si="3"/>
        <v>119999918.22392167</v>
      </c>
      <c r="F18" s="117">
        <f t="shared" si="4"/>
        <v>79999918.223921672</v>
      </c>
      <c r="G18" s="117">
        <f t="shared" si="5"/>
        <v>176.83868104580489</v>
      </c>
      <c r="H18" s="117">
        <f t="shared" si="1"/>
        <v>-176.83882565766146</v>
      </c>
      <c r="I18" s="117">
        <f t="shared" si="6"/>
        <v>119.99991822392167</v>
      </c>
      <c r="J18" s="117">
        <f t="shared" si="7"/>
        <v>79.999918223921668</v>
      </c>
      <c r="K18" s="103">
        <f t="shared" si="8"/>
        <v>314.1596441517695</v>
      </c>
      <c r="L18" s="103">
        <f t="shared" si="9"/>
        <v>50.000060286744969</v>
      </c>
      <c r="M18" s="144">
        <f t="shared" si="10"/>
        <v>-6.0286744968607309E-5</v>
      </c>
      <c r="N18" s="205">
        <f t="shared" si="11"/>
        <v>0</v>
      </c>
      <c r="O18" s="205">
        <f t="shared" si="12"/>
        <v>-1.2057348993721463E-6</v>
      </c>
      <c r="P18" s="203"/>
      <c r="Q18" s="203"/>
    </row>
    <row r="19" spans="1:17">
      <c r="A19" s="117">
        <v>4</v>
      </c>
      <c r="B19" s="202">
        <f t="shared" si="0"/>
        <v>599.99963827953025</v>
      </c>
      <c r="C19" s="202">
        <f t="shared" si="2"/>
        <v>399.99963827953019</v>
      </c>
      <c r="D19" s="117">
        <v>0</v>
      </c>
      <c r="E19" s="117">
        <f t="shared" si="3"/>
        <v>119999921.36791646</v>
      </c>
      <c r="F19" s="117">
        <f t="shared" si="4"/>
        <v>79999921.367916465</v>
      </c>
      <c r="G19" s="117">
        <f t="shared" si="5"/>
        <v>176.83868660560836</v>
      </c>
      <c r="H19" s="117">
        <f t="shared" si="1"/>
        <v>-176.83882565766146</v>
      </c>
      <c r="I19" s="117">
        <f t="shared" si="6"/>
        <v>119.99992136791647</v>
      </c>
      <c r="J19" s="117">
        <f t="shared" si="7"/>
        <v>79.999921367916471</v>
      </c>
      <c r="K19" s="103">
        <f t="shared" si="8"/>
        <v>314.1595050997164</v>
      </c>
      <c r="L19" s="103">
        <f t="shared" si="9"/>
        <v>50.00003815592337</v>
      </c>
      <c r="M19" s="144">
        <f t="shared" si="10"/>
        <v>-3.8155923370197797E-5</v>
      </c>
      <c r="N19" s="205">
        <f t="shared" si="11"/>
        <v>0</v>
      </c>
      <c r="O19" s="205">
        <f t="shared" si="12"/>
        <v>-7.6311846740395596E-7</v>
      </c>
      <c r="P19" s="203"/>
      <c r="Q19" s="203"/>
    </row>
    <row r="20" spans="1:17">
      <c r="A20" s="117">
        <v>5</v>
      </c>
      <c r="B20" s="202">
        <f t="shared" si="0"/>
        <v>599.99977106445976</v>
      </c>
      <c r="C20" s="202">
        <f t="shared" si="2"/>
        <v>399.99977106445976</v>
      </c>
      <c r="D20" s="117">
        <v>0</v>
      </c>
      <c r="E20" s="117">
        <f t="shared" si="3"/>
        <v>119999932.31624162</v>
      </c>
      <c r="F20" s="117">
        <f t="shared" si="4"/>
        <v>79999932.316241622</v>
      </c>
      <c r="G20" s="117">
        <f t="shared" si="5"/>
        <v>176.838705966498</v>
      </c>
      <c r="H20" s="117">
        <f t="shared" si="1"/>
        <v>-176.83882565766146</v>
      </c>
      <c r="I20" s="117">
        <f t="shared" si="6"/>
        <v>119.99993231624163</v>
      </c>
      <c r="J20" s="117">
        <f t="shared" si="7"/>
        <v>79.999932316241626</v>
      </c>
      <c r="K20" s="103">
        <f t="shared" si="8"/>
        <v>314.15938540855291</v>
      </c>
      <c r="L20" s="103">
        <f t="shared" si="9"/>
        <v>50.000019106483052</v>
      </c>
      <c r="M20" s="144">
        <f t="shared" si="10"/>
        <v>-1.9106483051700707E-5</v>
      </c>
      <c r="N20" s="205">
        <f t="shared" si="11"/>
        <v>0</v>
      </c>
      <c r="O20" s="205">
        <f t="shared" si="12"/>
        <v>-3.8212966103401413E-7</v>
      </c>
      <c r="P20" s="203"/>
      <c r="Q20" s="203"/>
    </row>
    <row r="21" spans="1:17">
      <c r="A21" s="117">
        <v>6</v>
      </c>
      <c r="B21" s="202">
        <f t="shared" si="0"/>
        <v>599.99988536110163</v>
      </c>
      <c r="C21" s="202">
        <f t="shared" si="2"/>
        <v>399.99988536110169</v>
      </c>
      <c r="D21" s="117">
        <v>0</v>
      </c>
      <c r="E21" s="117">
        <f t="shared" si="3"/>
        <v>119999947.23490119</v>
      </c>
      <c r="F21" s="117">
        <f t="shared" si="4"/>
        <v>79999947.23490119</v>
      </c>
      <c r="G21" s="117">
        <f t="shared" si="5"/>
        <v>176.83873234848039</v>
      </c>
      <c r="H21" s="117">
        <f t="shared" si="1"/>
        <v>-176.83882565766146</v>
      </c>
      <c r="I21" s="117">
        <f t="shared" si="6"/>
        <v>119.99994723490119</v>
      </c>
      <c r="J21" s="117">
        <f t="shared" si="7"/>
        <v>79.999947234901185</v>
      </c>
      <c r="K21" s="103">
        <f t="shared" si="8"/>
        <v>314.15929209937184</v>
      </c>
      <c r="L21" s="103">
        <f t="shared" si="9"/>
        <v>50.000004255865655</v>
      </c>
      <c r="M21" s="144">
        <f t="shared" si="10"/>
        <v>-4.2558656545566009E-6</v>
      </c>
      <c r="N21" s="205">
        <f t="shared" si="11"/>
        <v>0</v>
      </c>
      <c r="O21" s="205">
        <f t="shared" si="12"/>
        <v>-8.5117313091132014E-8</v>
      </c>
      <c r="P21" s="203"/>
      <c r="Q21" s="203"/>
    </row>
    <row r="22" spans="1:17">
      <c r="A22" s="117">
        <v>7</v>
      </c>
      <c r="B22" s="202">
        <f t="shared" si="0"/>
        <v>599.99997446480609</v>
      </c>
      <c r="C22" s="202">
        <f t="shared" si="2"/>
        <v>399.99997446480609</v>
      </c>
      <c r="D22" s="117">
        <v>0</v>
      </c>
      <c r="E22" s="117">
        <f t="shared" si="3"/>
        <v>119999963.12092119</v>
      </c>
      <c r="F22" s="117">
        <f t="shared" si="4"/>
        <v>79999963.120921195</v>
      </c>
      <c r="G22" s="117">
        <f t="shared" si="5"/>
        <v>176.8387604411316</v>
      </c>
      <c r="H22" s="117">
        <f t="shared" si="1"/>
        <v>-176.83882565766146</v>
      </c>
      <c r="I22" s="117">
        <f t="shared" si="6"/>
        <v>119.99996312092119</v>
      </c>
      <c r="J22" s="117">
        <f t="shared" si="7"/>
        <v>79.999963120921194</v>
      </c>
      <c r="K22" s="103">
        <f t="shared" si="8"/>
        <v>314.15922688284195</v>
      </c>
      <c r="L22" s="103">
        <f t="shared" si="9"/>
        <v>49.999993876332546</v>
      </c>
      <c r="M22" s="144">
        <f t="shared" si="10"/>
        <v>6.1236674540054992E-6</v>
      </c>
      <c r="N22" s="205">
        <f t="shared" si="11"/>
        <v>0</v>
      </c>
      <c r="O22" s="205">
        <f t="shared" si="12"/>
        <v>1.2247334908010998E-7</v>
      </c>
      <c r="P22" s="203"/>
      <c r="Q22" s="203"/>
    </row>
    <row r="23" spans="1:17">
      <c r="A23" s="117">
        <v>8</v>
      </c>
      <c r="B23" s="202">
        <f t="shared" si="0"/>
        <v>600.00003674200468</v>
      </c>
      <c r="C23" s="202">
        <f t="shared" si="2"/>
        <v>400.00003674200474</v>
      </c>
      <c r="D23" s="117">
        <v>0</v>
      </c>
      <c r="E23" s="117">
        <f t="shared" si="3"/>
        <v>119999977.86341444</v>
      </c>
      <c r="F23" s="117">
        <f t="shared" si="4"/>
        <v>79999977.863414437</v>
      </c>
      <c r="G23" s="117">
        <f t="shared" si="5"/>
        <v>176.83878651158352</v>
      </c>
      <c r="H23" s="117">
        <f t="shared" si="1"/>
        <v>-176.83882565766146</v>
      </c>
      <c r="I23" s="117">
        <f t="shared" si="6"/>
        <v>119.99997786341444</v>
      </c>
      <c r="J23" s="117">
        <f t="shared" si="7"/>
        <v>79.999977863414443</v>
      </c>
      <c r="K23" s="103">
        <f t="shared" si="8"/>
        <v>314.15918773676401</v>
      </c>
      <c r="L23" s="103">
        <f t="shared" si="9"/>
        <v>49.999987646040744</v>
      </c>
      <c r="M23" s="144">
        <f t="shared" si="10"/>
        <v>1.2353959256472535E-5</v>
      </c>
      <c r="N23" s="205">
        <f t="shared" si="11"/>
        <v>0</v>
      </c>
      <c r="O23" s="205">
        <f t="shared" si="12"/>
        <v>2.4707918512945069E-7</v>
      </c>
      <c r="P23" s="203"/>
      <c r="Q23" s="203"/>
    </row>
    <row r="24" spans="1:17">
      <c r="A24" s="117">
        <v>9</v>
      </c>
      <c r="B24" s="202">
        <f t="shared" si="0"/>
        <v>600.00007412375555</v>
      </c>
      <c r="C24" s="202">
        <f t="shared" si="2"/>
        <v>400.00007412375555</v>
      </c>
      <c r="D24" s="117">
        <v>0</v>
      </c>
      <c r="E24" s="117">
        <f t="shared" si="3"/>
        <v>119999990.18385997</v>
      </c>
      <c r="F24" s="117">
        <f t="shared" si="4"/>
        <v>79999990.183859989</v>
      </c>
      <c r="G24" s="117">
        <f t="shared" si="5"/>
        <v>176.83880829891473</v>
      </c>
      <c r="H24" s="117">
        <f t="shared" si="1"/>
        <v>-176.83882565766146</v>
      </c>
      <c r="I24" s="117">
        <f t="shared" si="6"/>
        <v>119.99999018385998</v>
      </c>
      <c r="J24" s="117">
        <f t="shared" si="7"/>
        <v>79.999990183859992</v>
      </c>
      <c r="K24" s="103">
        <f t="shared" si="8"/>
        <v>314.15917037801728</v>
      </c>
      <c r="L24" s="103">
        <f t="shared" si="9"/>
        <v>49.99998488331039</v>
      </c>
      <c r="M24" s="144">
        <f t="shared" si="10"/>
        <v>1.5116689610294998E-5</v>
      </c>
      <c r="N24" s="205">
        <f t="shared" si="11"/>
        <v>0</v>
      </c>
      <c r="O24" s="205">
        <f t="shared" si="12"/>
        <v>3.0233379220589997E-7</v>
      </c>
      <c r="P24" s="203"/>
      <c r="Q24" s="203"/>
    </row>
    <row r="25" spans="1:17">
      <c r="A25" s="117">
        <v>10</v>
      </c>
      <c r="B25" s="202">
        <f t="shared" si="0"/>
        <v>600.00009070013766</v>
      </c>
      <c r="C25" s="202">
        <f t="shared" si="2"/>
        <v>400.00009070013766</v>
      </c>
      <c r="D25" s="117">
        <v>0</v>
      </c>
      <c r="E25" s="117">
        <f t="shared" si="3"/>
        <v>119999999.50258249</v>
      </c>
      <c r="F25" s="117">
        <f t="shared" si="4"/>
        <v>79999999.502582505</v>
      </c>
      <c r="G25" s="117">
        <f t="shared" si="5"/>
        <v>176.83882477803419</v>
      </c>
      <c r="H25" s="117">
        <f t="shared" si="1"/>
        <v>-176.83882565766146</v>
      </c>
      <c r="I25" s="117">
        <f t="shared" si="6"/>
        <v>119.9999995025825</v>
      </c>
      <c r="J25" s="117">
        <f t="shared" si="7"/>
        <v>79.999999502582511</v>
      </c>
      <c r="K25" s="103">
        <f t="shared" si="8"/>
        <v>314.15916949839004</v>
      </c>
      <c r="L25" s="103">
        <f t="shared" si="9"/>
        <v>49.99998474331337</v>
      </c>
      <c r="M25" s="144">
        <f t="shared" si="10"/>
        <v>1.5256686630493732E-5</v>
      </c>
      <c r="N25" s="205">
        <f t="shared" si="11"/>
        <v>0</v>
      </c>
      <c r="O25" s="205">
        <f t="shared" si="12"/>
        <v>3.0513373260987465E-7</v>
      </c>
      <c r="P25" s="203"/>
      <c r="Q25" s="203"/>
    </row>
    <row r="26" spans="1:17">
      <c r="A26" s="117">
        <v>11</v>
      </c>
      <c r="B26" s="202">
        <f t="shared" si="0"/>
        <v>600.0000915401198</v>
      </c>
      <c r="C26" s="202">
        <f t="shared" si="2"/>
        <v>400.0000915401198</v>
      </c>
      <c r="D26" s="117">
        <v>0</v>
      </c>
      <c r="E26" s="117">
        <f t="shared" si="3"/>
        <v>120000005.77106297</v>
      </c>
      <c r="F26" s="117">
        <f t="shared" si="4"/>
        <v>80000005.771062985</v>
      </c>
      <c r="G26" s="117">
        <f t="shared" si="5"/>
        <v>176.83883586314147</v>
      </c>
      <c r="H26" s="117">
        <f t="shared" si="1"/>
        <v>-176.83882565766146</v>
      </c>
      <c r="I26" s="117">
        <f t="shared" si="6"/>
        <v>120.00000577106297</v>
      </c>
      <c r="J26" s="117">
        <f t="shared" si="7"/>
        <v>80.000005771062987</v>
      </c>
      <c r="K26" s="103">
        <f t="shared" si="8"/>
        <v>314.15917970387005</v>
      </c>
      <c r="L26" s="103">
        <f t="shared" si="9"/>
        <v>49.99998636756596</v>
      </c>
      <c r="M26" s="144">
        <f t="shared" si="10"/>
        <v>1.3632434040289354E-5</v>
      </c>
      <c r="N26" s="205">
        <f t="shared" si="11"/>
        <v>0</v>
      </c>
      <c r="O26" s="205">
        <f t="shared" si="12"/>
        <v>2.7264868080578707E-7</v>
      </c>
      <c r="P26" s="203"/>
      <c r="Q26" s="203"/>
    </row>
    <row r="27" spans="1:17">
      <c r="A27" s="117">
        <v>12</v>
      </c>
      <c r="B27" s="202">
        <f t="shared" si="0"/>
        <v>600.00008179460428</v>
      </c>
      <c r="C27" s="202">
        <f t="shared" si="2"/>
        <v>400.00008179460423</v>
      </c>
      <c r="D27" s="117">
        <v>0</v>
      </c>
      <c r="E27" s="117">
        <f t="shared" si="3"/>
        <v>120000009.30034894</v>
      </c>
      <c r="F27" s="117">
        <f t="shared" si="4"/>
        <v>80000009.300348938</v>
      </c>
      <c r="G27" s="117">
        <f t="shared" si="5"/>
        <v>176.83884210428931</v>
      </c>
      <c r="H27" s="117">
        <f t="shared" si="1"/>
        <v>-176.83882565766146</v>
      </c>
      <c r="I27" s="117">
        <f t="shared" si="6"/>
        <v>120.00000930034894</v>
      </c>
      <c r="J27" s="117">
        <f t="shared" si="7"/>
        <v>80.000009300348935</v>
      </c>
      <c r="K27" s="103">
        <f t="shared" si="8"/>
        <v>314.15919615049791</v>
      </c>
      <c r="L27" s="103">
        <f t="shared" si="9"/>
        <v>49.999988985128077</v>
      </c>
      <c r="M27" s="144">
        <f t="shared" si="10"/>
        <v>1.101487192300965E-5</v>
      </c>
      <c r="N27" s="205">
        <f t="shared" si="11"/>
        <v>0</v>
      </c>
      <c r="O27" s="205">
        <f t="shared" si="12"/>
        <v>2.20297438460193E-7</v>
      </c>
      <c r="P27" s="203"/>
      <c r="Q27" s="203"/>
    </row>
    <row r="28" spans="1:17">
      <c r="A28" s="117">
        <v>13</v>
      </c>
      <c r="B28" s="202">
        <f t="shared" si="0"/>
        <v>600.0000660892315</v>
      </c>
      <c r="C28" s="202">
        <f t="shared" si="2"/>
        <v>400.00006608923155</v>
      </c>
      <c r="D28" s="117">
        <v>0</v>
      </c>
      <c r="E28" s="117">
        <f t="shared" si="3"/>
        <v>120000010.60618138</v>
      </c>
      <c r="F28" s="117">
        <f t="shared" si="4"/>
        <v>80000010.606181383</v>
      </c>
      <c r="G28" s="117">
        <f t="shared" si="5"/>
        <v>176.83884441350807</v>
      </c>
      <c r="H28" s="117">
        <f t="shared" si="1"/>
        <v>-176.83882565766146</v>
      </c>
      <c r="I28" s="117">
        <f t="shared" si="6"/>
        <v>120.00001060618138</v>
      </c>
      <c r="J28" s="117">
        <f t="shared" si="7"/>
        <v>80.000010606181377</v>
      </c>
      <c r="K28" s="103">
        <f t="shared" si="8"/>
        <v>314.15921490634452</v>
      </c>
      <c r="L28" s="103">
        <f t="shared" si="9"/>
        <v>49.999991970213777</v>
      </c>
      <c r="M28" s="144">
        <f t="shared" si="10"/>
        <v>8.0297862226075267E-6</v>
      </c>
      <c r="N28" s="205">
        <f t="shared" si="11"/>
        <v>0</v>
      </c>
      <c r="O28" s="205">
        <f t="shared" si="12"/>
        <v>1.6059572445215052E-7</v>
      </c>
      <c r="P28" s="203"/>
      <c r="Q28" s="203"/>
    </row>
    <row r="29" spans="1:17">
      <c r="A29" s="117">
        <v>14</v>
      </c>
      <c r="B29" s="202">
        <f t="shared" si="0"/>
        <v>600.00004817871729</v>
      </c>
      <c r="C29" s="202">
        <f t="shared" si="2"/>
        <v>400.00004817871735</v>
      </c>
      <c r="D29" s="117">
        <v>0</v>
      </c>
      <c r="E29" s="117">
        <f t="shared" si="3"/>
        <v>120000010.28270206</v>
      </c>
      <c r="F29" s="117">
        <f t="shared" si="4"/>
        <v>80000010.282702073</v>
      </c>
      <c r="G29" s="117">
        <f t="shared" si="5"/>
        <v>176.83884384147103</v>
      </c>
      <c r="H29" s="117">
        <f t="shared" si="1"/>
        <v>-176.83882565766146</v>
      </c>
      <c r="I29" s="117">
        <f t="shared" si="6"/>
        <v>120.00001028270206</v>
      </c>
      <c r="J29" s="117">
        <f t="shared" si="7"/>
        <v>80.000010282702078</v>
      </c>
      <c r="K29" s="103">
        <f t="shared" si="8"/>
        <v>314.15923309015409</v>
      </c>
      <c r="L29" s="103">
        <f t="shared" si="9"/>
        <v>49.999994864256955</v>
      </c>
      <c r="M29" s="144">
        <f t="shared" si="10"/>
        <v>5.1357430450593711E-6</v>
      </c>
      <c r="N29" s="205">
        <f t="shared" si="11"/>
        <v>0</v>
      </c>
      <c r="O29" s="205">
        <f t="shared" si="12"/>
        <v>1.0271486090118742E-7</v>
      </c>
      <c r="P29" s="203"/>
      <c r="Q29" s="203"/>
    </row>
    <row r="30" spans="1:17">
      <c r="A30" s="117">
        <v>15</v>
      </c>
      <c r="B30" s="202">
        <f t="shared" si="0"/>
        <v>600.00003081445823</v>
      </c>
      <c r="C30" s="202">
        <f t="shared" si="2"/>
        <v>400.00003081445828</v>
      </c>
      <c r="D30" s="117">
        <v>0</v>
      </c>
      <c r="E30" s="117">
        <f t="shared" si="3"/>
        <v>120000008.9094319</v>
      </c>
      <c r="F30" s="117">
        <f t="shared" si="4"/>
        <v>80000008.909431934</v>
      </c>
      <c r="G30" s="117">
        <f t="shared" si="5"/>
        <v>176.83884141299626</v>
      </c>
      <c r="H30" s="117">
        <f t="shared" si="1"/>
        <v>-176.83882565766146</v>
      </c>
      <c r="I30" s="117">
        <f t="shared" si="6"/>
        <v>120.0000089094319</v>
      </c>
      <c r="J30" s="117">
        <f t="shared" si="7"/>
        <v>80.000008909431941</v>
      </c>
      <c r="K30" s="103">
        <f t="shared" si="8"/>
        <v>314.15924884548889</v>
      </c>
      <c r="L30" s="103">
        <f t="shared" si="9"/>
        <v>49.999997371796368</v>
      </c>
      <c r="M30" s="144">
        <f t="shared" si="10"/>
        <v>2.6282036316160884E-6</v>
      </c>
      <c r="N30" s="205">
        <f t="shared" si="11"/>
        <v>0</v>
      </c>
      <c r="O30" s="205">
        <f t="shared" si="12"/>
        <v>5.2564072632321765E-8</v>
      </c>
      <c r="P30" s="203"/>
      <c r="Q30" s="203"/>
    </row>
    <row r="31" spans="1:17">
      <c r="A31" s="117">
        <v>16</v>
      </c>
      <c r="B31" s="202">
        <f t="shared" si="0"/>
        <v>600.00001576922182</v>
      </c>
      <c r="C31" s="202">
        <f t="shared" si="2"/>
        <v>400.00001576922182</v>
      </c>
      <c r="D31" s="117">
        <v>0</v>
      </c>
      <c r="E31" s="117">
        <f t="shared" si="3"/>
        <v>120000006.99090272</v>
      </c>
      <c r="F31" s="117">
        <f t="shared" si="4"/>
        <v>80000006.990902737</v>
      </c>
      <c r="G31" s="117">
        <f t="shared" si="5"/>
        <v>176.83883802029175</v>
      </c>
      <c r="H31" s="117">
        <f t="shared" si="1"/>
        <v>-176.83882565766146</v>
      </c>
      <c r="I31" s="117">
        <f t="shared" si="6"/>
        <v>120.00000699090272</v>
      </c>
      <c r="J31" s="117">
        <f t="shared" si="7"/>
        <v>80.000006990902733</v>
      </c>
      <c r="K31" s="103">
        <f t="shared" si="8"/>
        <v>314.15926120811918</v>
      </c>
      <c r="L31" s="103">
        <f t="shared" si="9"/>
        <v>49.999999339370092</v>
      </c>
      <c r="M31" s="144">
        <f t="shared" si="10"/>
        <v>6.6062990811133204E-7</v>
      </c>
      <c r="N31" s="205">
        <f t="shared" si="11"/>
        <v>0</v>
      </c>
      <c r="O31" s="205">
        <f t="shared" si="12"/>
        <v>1.321259816222664E-8</v>
      </c>
      <c r="P31" s="203"/>
      <c r="Q31" s="203"/>
    </row>
    <row r="32" spans="1:17">
      <c r="A32" s="117">
        <v>17</v>
      </c>
      <c r="B32" s="202">
        <f t="shared" si="0"/>
        <v>600.00000396377948</v>
      </c>
      <c r="C32" s="202">
        <f t="shared" si="2"/>
        <v>400.00000396377948</v>
      </c>
      <c r="D32" s="117">
        <v>0</v>
      </c>
      <c r="E32" s="117">
        <f t="shared" si="3"/>
        <v>120000004.92485377</v>
      </c>
      <c r="F32" s="117">
        <f t="shared" si="4"/>
        <v>80000004.924853787</v>
      </c>
      <c r="G32" s="117">
        <f t="shared" si="5"/>
        <v>176.83883436671505</v>
      </c>
      <c r="H32" s="117">
        <f t="shared" si="1"/>
        <v>-176.83882565766146</v>
      </c>
      <c r="I32" s="117">
        <f t="shared" si="6"/>
        <v>120.00000492485377</v>
      </c>
      <c r="J32" s="117">
        <f t="shared" si="7"/>
        <v>80.000004924853783</v>
      </c>
      <c r="K32" s="103">
        <f t="shared" si="8"/>
        <v>314.15926991717276</v>
      </c>
      <c r="L32" s="103">
        <f t="shared" si="9"/>
        <v>50.000000725459017</v>
      </c>
      <c r="M32" s="144">
        <f t="shared" si="10"/>
        <v>-7.2545901730336482E-7</v>
      </c>
      <c r="N32" s="205">
        <f t="shared" si="11"/>
        <v>0</v>
      </c>
      <c r="O32" s="205">
        <f t="shared" si="12"/>
        <v>-1.4509180346067297E-8</v>
      </c>
      <c r="P32" s="203"/>
      <c r="Q32" s="203"/>
    </row>
    <row r="33" spans="1:17">
      <c r="A33" s="117">
        <v>18</v>
      </c>
      <c r="B33" s="202">
        <f t="shared" si="0"/>
        <v>599.9999956472459</v>
      </c>
      <c r="C33" s="202">
        <f t="shared" si="2"/>
        <v>399.9999956472459</v>
      </c>
      <c r="D33" s="117">
        <v>0</v>
      </c>
      <c r="E33" s="117">
        <f t="shared" si="3"/>
        <v>120000002.99305224</v>
      </c>
      <c r="F33" s="117">
        <f t="shared" si="4"/>
        <v>80000002.993052244</v>
      </c>
      <c r="G33" s="117">
        <f t="shared" si="5"/>
        <v>176.83883095053991</v>
      </c>
      <c r="H33" s="117">
        <f t="shared" si="1"/>
        <v>-176.83882565766146</v>
      </c>
      <c r="I33" s="117">
        <f t="shared" si="6"/>
        <v>120.00000299305225</v>
      </c>
      <c r="J33" s="117">
        <f t="shared" si="7"/>
        <v>80.000002993052249</v>
      </c>
      <c r="K33" s="103">
        <f t="shared" si="8"/>
        <v>314.15927521005119</v>
      </c>
      <c r="L33" s="103">
        <f t="shared" si="9"/>
        <v>50.000001567846788</v>
      </c>
      <c r="M33" s="144">
        <f t="shared" si="10"/>
        <v>-1.5678467875090973E-6</v>
      </c>
      <c r="N33" s="205">
        <f t="shared" si="11"/>
        <v>0</v>
      </c>
      <c r="O33" s="205">
        <f t="shared" si="12"/>
        <v>-3.1356935750181946E-8</v>
      </c>
      <c r="P33" s="203"/>
      <c r="Q33" s="203"/>
    </row>
    <row r="34" spans="1:17">
      <c r="A34" s="117">
        <v>19</v>
      </c>
      <c r="B34" s="202">
        <f t="shared" si="0"/>
        <v>599.99999059291929</v>
      </c>
      <c r="C34" s="202">
        <f t="shared" si="2"/>
        <v>399.99999059291929</v>
      </c>
      <c r="D34" s="117">
        <v>0</v>
      </c>
      <c r="E34" s="117">
        <f t="shared" si="3"/>
        <v>120000001.36822945</v>
      </c>
      <c r="F34" s="117">
        <f t="shared" si="4"/>
        <v>80000001.368229449</v>
      </c>
      <c r="G34" s="117">
        <f t="shared" si="5"/>
        <v>176.83882807722236</v>
      </c>
      <c r="H34" s="117">
        <f t="shared" si="1"/>
        <v>-176.83882565766146</v>
      </c>
      <c r="I34" s="117">
        <f t="shared" si="6"/>
        <v>120.00000136822945</v>
      </c>
      <c r="J34" s="117">
        <f t="shared" si="7"/>
        <v>80.000001368229448</v>
      </c>
      <c r="K34" s="103">
        <f t="shared" si="8"/>
        <v>314.15927762961212</v>
      </c>
      <c r="L34" s="103">
        <f t="shared" si="9"/>
        <v>50.000001952931868</v>
      </c>
      <c r="M34" s="144">
        <f t="shared" si="10"/>
        <v>-1.952931867776897E-6</v>
      </c>
      <c r="N34" s="205">
        <f t="shared" si="11"/>
        <v>0</v>
      </c>
      <c r="O34" s="205">
        <f t="shared" si="12"/>
        <v>-3.9058637355537936E-8</v>
      </c>
      <c r="P34" s="203"/>
      <c r="Q34" s="203"/>
    </row>
    <row r="35" spans="1:17">
      <c r="A35" s="117">
        <v>20</v>
      </c>
      <c r="B35" s="202">
        <f t="shared" si="0"/>
        <v>599.99998828240882</v>
      </c>
      <c r="C35" s="202">
        <f t="shared" si="2"/>
        <v>399.99998828240882</v>
      </c>
      <c r="D35" s="117">
        <v>0</v>
      </c>
      <c r="E35" s="117">
        <f t="shared" si="3"/>
        <v>120000000.13098021</v>
      </c>
      <c r="F35" s="117">
        <f t="shared" si="4"/>
        <v>80000000.130980209</v>
      </c>
      <c r="G35" s="117">
        <f t="shared" si="5"/>
        <v>176.83882588928535</v>
      </c>
      <c r="H35" s="117">
        <f t="shared" si="1"/>
        <v>-176.83882565766146</v>
      </c>
      <c r="I35" s="117">
        <f t="shared" si="6"/>
        <v>120.00000013098021</v>
      </c>
      <c r="J35" s="117">
        <f t="shared" si="7"/>
        <v>80.000000130980212</v>
      </c>
      <c r="K35" s="103">
        <f t="shared" si="8"/>
        <v>314.15927786123598</v>
      </c>
      <c r="L35" s="103">
        <f t="shared" si="9"/>
        <v>50.000001989795948</v>
      </c>
      <c r="M35" s="144">
        <f t="shared" si="10"/>
        <v>-1.9897959475656535E-6</v>
      </c>
      <c r="N35" s="205">
        <f t="shared" si="11"/>
        <v>0</v>
      </c>
      <c r="O35" s="205">
        <f t="shared" si="12"/>
        <v>-3.9795918951313067E-8</v>
      </c>
      <c r="P35" s="203"/>
      <c r="Q35" s="203"/>
    </row>
    <row r="36" spans="1:17">
      <c r="A36" s="117">
        <v>21</v>
      </c>
      <c r="B36" s="202">
        <f t="shared" si="0"/>
        <v>599.99998806122426</v>
      </c>
      <c r="C36" s="202">
        <f t="shared" si="2"/>
        <v>399.99998806122431</v>
      </c>
      <c r="D36" s="117">
        <f t="shared" ref="D36:D40" si="13">$B$11*1000000*$B$10</f>
        <v>1200000</v>
      </c>
      <c r="E36" s="117">
        <f t="shared" si="3"/>
        <v>119999999.29140174</v>
      </c>
      <c r="F36" s="117">
        <f t="shared" si="4"/>
        <v>79999999.291401759</v>
      </c>
      <c r="G36" s="117">
        <f t="shared" si="5"/>
        <v>176.83882440458464</v>
      </c>
      <c r="H36" s="117">
        <f t="shared" si="1"/>
        <v>-177.89985861160744</v>
      </c>
      <c r="I36" s="117">
        <f t="shared" si="6"/>
        <v>119.99999929140175</v>
      </c>
      <c r="J36" s="117">
        <f t="shared" si="7"/>
        <v>79.999999291401764</v>
      </c>
      <c r="K36" s="103">
        <f t="shared" si="8"/>
        <v>313.09824365421321</v>
      </c>
      <c r="L36" s="103">
        <f t="shared" si="9"/>
        <v>49.831133150958685</v>
      </c>
      <c r="M36" s="144">
        <f t="shared" si="10"/>
        <v>0.16886684904131499</v>
      </c>
      <c r="N36" s="205">
        <f t="shared" si="11"/>
        <v>6.0000000000000001E-3</v>
      </c>
      <c r="O36" s="205">
        <f t="shared" si="12"/>
        <v>3.3773369808262998E-3</v>
      </c>
      <c r="P36" s="203"/>
      <c r="Q36" s="203"/>
    </row>
    <row r="37" spans="1:17">
      <c r="A37" s="117">
        <v>22</v>
      </c>
      <c r="B37" s="202">
        <f t="shared" si="0"/>
        <v>601.01320109424785</v>
      </c>
      <c r="C37" s="202">
        <f t="shared" si="2"/>
        <v>401.0132010942479</v>
      </c>
      <c r="D37" s="117">
        <f t="shared" si="13"/>
        <v>1200000</v>
      </c>
      <c r="E37" s="117">
        <f t="shared" si="3"/>
        <v>120067546.26721767</v>
      </c>
      <c r="F37" s="117">
        <f t="shared" si="4"/>
        <v>80067546.267217696</v>
      </c>
      <c r="G37" s="117">
        <f t="shared" si="5"/>
        <v>176.95827368338482</v>
      </c>
      <c r="H37" s="117">
        <f t="shared" si="1"/>
        <v>-177.89985861160744</v>
      </c>
      <c r="I37" s="117">
        <f t="shared" si="6"/>
        <v>120.06754626721766</v>
      </c>
      <c r="J37" s="117">
        <f t="shared" si="7"/>
        <v>80.067546267217693</v>
      </c>
      <c r="K37" s="103">
        <f t="shared" si="8"/>
        <v>312.15665872599061</v>
      </c>
      <c r="L37" s="103">
        <f t="shared" si="9"/>
        <v>49.681275255291233</v>
      </c>
      <c r="M37" s="144">
        <f t="shared" si="10"/>
        <v>0.3187247447087671</v>
      </c>
      <c r="N37" s="205">
        <f t="shared" si="11"/>
        <v>6.0000000000000001E-3</v>
      </c>
      <c r="O37" s="205">
        <f t="shared" si="12"/>
        <v>6.3744948941753419E-3</v>
      </c>
      <c r="P37" s="203"/>
      <c r="Q37" s="203"/>
    </row>
    <row r="38" spans="1:17">
      <c r="A38" s="117">
        <v>23</v>
      </c>
      <c r="B38" s="202">
        <f t="shared" si="0"/>
        <v>601.91234846825262</v>
      </c>
      <c r="C38" s="202">
        <f t="shared" si="2"/>
        <v>401.91234846825262</v>
      </c>
      <c r="D38" s="117">
        <f t="shared" si="13"/>
        <v>1200000</v>
      </c>
      <c r="E38" s="117">
        <f t="shared" si="3"/>
        <v>120172520.74269529</v>
      </c>
      <c r="F38" s="117">
        <f t="shared" si="4"/>
        <v>80172520.742695302</v>
      </c>
      <c r="G38" s="117">
        <f t="shared" si="5"/>
        <v>177.14390931305974</v>
      </c>
      <c r="H38" s="117">
        <f t="shared" si="1"/>
        <v>-177.89985861160744</v>
      </c>
      <c r="I38" s="117">
        <f t="shared" si="6"/>
        <v>120.17252074269528</v>
      </c>
      <c r="J38" s="117">
        <f t="shared" si="7"/>
        <v>80.172520742695298</v>
      </c>
      <c r="K38" s="103">
        <f t="shared" si="8"/>
        <v>311.40070942744291</v>
      </c>
      <c r="L38" s="103">
        <f t="shared" si="9"/>
        <v>49.560962187700511</v>
      </c>
      <c r="M38" s="144">
        <f t="shared" si="10"/>
        <v>0.43903781229948891</v>
      </c>
      <c r="N38" s="205">
        <f t="shared" si="11"/>
        <v>6.0000000000000001E-3</v>
      </c>
      <c r="O38" s="205">
        <f t="shared" si="12"/>
        <v>8.7807562459897778E-3</v>
      </c>
      <c r="P38" s="203"/>
      <c r="Q38" s="203"/>
    </row>
    <row r="39" spans="1:17">
      <c r="A39" s="117">
        <v>24</v>
      </c>
      <c r="B39" s="202">
        <f t="shared" si="0"/>
        <v>602.63422687379693</v>
      </c>
      <c r="C39" s="202">
        <f t="shared" si="2"/>
        <v>402.63422687379693</v>
      </c>
      <c r="D39" s="117">
        <f t="shared" si="13"/>
        <v>1200000</v>
      </c>
      <c r="E39" s="117">
        <f t="shared" si="3"/>
        <v>120290628.95338333</v>
      </c>
      <c r="F39" s="117">
        <f t="shared" si="4"/>
        <v>80290628.953383327</v>
      </c>
      <c r="G39" s="117">
        <f t="shared" si="5"/>
        <v>177.3527704858457</v>
      </c>
      <c r="H39" s="117">
        <f t="shared" si="1"/>
        <v>-177.89985861160744</v>
      </c>
      <c r="I39" s="117">
        <f t="shared" si="6"/>
        <v>120.29062895338333</v>
      </c>
      <c r="J39" s="117">
        <f t="shared" si="7"/>
        <v>80.290628953383333</v>
      </c>
      <c r="K39" s="103">
        <f t="shared" si="8"/>
        <v>310.85362130168119</v>
      </c>
      <c r="L39" s="103">
        <f t="shared" si="9"/>
        <v>49.473890408178654</v>
      </c>
      <c r="M39" s="144">
        <f t="shared" si="10"/>
        <v>0.52610959182134565</v>
      </c>
      <c r="N39" s="205">
        <f t="shared" si="11"/>
        <v>6.0000000000000001E-3</v>
      </c>
      <c r="O39" s="205">
        <f t="shared" si="12"/>
        <v>1.0522191836426912E-2</v>
      </c>
      <c r="P39" s="203"/>
      <c r="Q39" s="203"/>
    </row>
    <row r="40" spans="1:17">
      <c r="A40" s="117">
        <v>25</v>
      </c>
      <c r="B40" s="202">
        <f t="shared" si="0"/>
        <v>603.15665755092812</v>
      </c>
      <c r="C40" s="202">
        <f t="shared" si="2"/>
        <v>403.15665755092806</v>
      </c>
      <c r="D40" s="117">
        <f t="shared" si="13"/>
        <v>1200000</v>
      </c>
      <c r="E40" s="117">
        <f t="shared" si="3"/>
        <v>120404196.47231741</v>
      </c>
      <c r="F40" s="117">
        <f t="shared" si="4"/>
        <v>80404196.472317412</v>
      </c>
      <c r="G40" s="117">
        <f t="shared" si="5"/>
        <v>177.55360195265729</v>
      </c>
      <c r="H40" s="117">
        <f t="shared" si="1"/>
        <v>-177.89985861160744</v>
      </c>
      <c r="I40" s="117">
        <f t="shared" si="6"/>
        <v>120.40419647231741</v>
      </c>
      <c r="J40" s="117">
        <f t="shared" si="7"/>
        <v>80.404196472317409</v>
      </c>
      <c r="K40" s="103">
        <f t="shared" si="8"/>
        <v>310.50736464273103</v>
      </c>
      <c r="L40" s="103">
        <f t="shared" si="9"/>
        <v>49.418781949328256</v>
      </c>
      <c r="M40" s="144">
        <f t="shared" si="10"/>
        <v>0.58121805067174392</v>
      </c>
      <c r="N40" s="205">
        <f t="shared" si="11"/>
        <v>6.0000000000000001E-3</v>
      </c>
      <c r="O40" s="205">
        <f t="shared" si="12"/>
        <v>1.1624361013434878E-2</v>
      </c>
      <c r="P40" s="203"/>
      <c r="Q40" s="203"/>
    </row>
    <row r="41" spans="1:17">
      <c r="A41" s="117">
        <v>26</v>
      </c>
      <c r="B41" s="202">
        <f t="shared" si="0"/>
        <v>603.48730830403042</v>
      </c>
      <c r="C41" s="202">
        <f t="shared" si="2"/>
        <v>403.48730830403048</v>
      </c>
      <c r="D41" s="117">
        <f>$B$11*1000000*$B$10</f>
        <v>1200000</v>
      </c>
      <c r="E41" s="117">
        <f t="shared" si="3"/>
        <v>120501951.53514697</v>
      </c>
      <c r="F41" s="117">
        <f t="shared" si="4"/>
        <v>80501951.535146967</v>
      </c>
      <c r="G41" s="117">
        <f t="shared" si="5"/>
        <v>177.72647085778598</v>
      </c>
      <c r="H41" s="117">
        <f t="shared" si="1"/>
        <v>-177.89985861160744</v>
      </c>
      <c r="I41" s="117">
        <f t="shared" si="6"/>
        <v>120.50195153514697</v>
      </c>
      <c r="J41" s="117">
        <f t="shared" si="7"/>
        <v>80.501951535146972</v>
      </c>
      <c r="K41" s="103">
        <f t="shared" si="8"/>
        <v>310.33397688890955</v>
      </c>
      <c r="L41" s="103">
        <f t="shared" si="9"/>
        <v>49.391186431235965</v>
      </c>
      <c r="M41" s="144">
        <f t="shared" si="10"/>
        <v>0.60881356876403459</v>
      </c>
      <c r="N41" s="205">
        <f t="shared" si="11"/>
        <v>6.0000000000000001E-3</v>
      </c>
      <c r="O41" s="205">
        <f t="shared" si="12"/>
        <v>1.2176271375280691E-2</v>
      </c>
      <c r="P41" s="203"/>
      <c r="Q41" s="203"/>
    </row>
    <row r="42" spans="1:17">
      <c r="A42" s="117">
        <v>27</v>
      </c>
      <c r="B42" s="202">
        <f t="shared" si="0"/>
        <v>603.65288141258418</v>
      </c>
      <c r="C42" s="202">
        <f t="shared" si="2"/>
        <v>403.65288141258418</v>
      </c>
      <c r="D42" s="117">
        <f t="shared" ref="D42:D68" si="14">$B$11*1000000*$B$10</f>
        <v>1200000</v>
      </c>
      <c r="E42" s="117">
        <f t="shared" si="3"/>
        <v>120578159.78427024</v>
      </c>
      <c r="F42" s="117">
        <f t="shared" si="4"/>
        <v>80578159.784270257</v>
      </c>
      <c r="G42" s="117">
        <f t="shared" si="5"/>
        <v>177.86123663058987</v>
      </c>
      <c r="H42" s="117">
        <f t="shared" si="1"/>
        <v>-177.89985861160744</v>
      </c>
      <c r="I42" s="117">
        <f t="shared" si="6"/>
        <v>120.57815978427024</v>
      </c>
      <c r="J42" s="117">
        <f t="shared" si="7"/>
        <v>80.578159784270255</v>
      </c>
      <c r="K42" s="103">
        <f t="shared" si="8"/>
        <v>310.29535490789198</v>
      </c>
      <c r="L42" s="103">
        <f t="shared" si="9"/>
        <v>49.385039552045015</v>
      </c>
      <c r="M42" s="144">
        <f t="shared" si="10"/>
        <v>0.61496044795498506</v>
      </c>
      <c r="N42" s="205">
        <f t="shared" si="11"/>
        <v>6.0000000000000001E-3</v>
      </c>
      <c r="O42" s="205">
        <f t="shared" si="12"/>
        <v>1.2299208959099701E-2</v>
      </c>
      <c r="P42" s="203"/>
      <c r="Q42" s="203"/>
    </row>
    <row r="43" spans="1:17">
      <c r="A43" s="117">
        <v>28</v>
      </c>
      <c r="B43" s="202">
        <f t="shared" si="0"/>
        <v>603.68976268772985</v>
      </c>
      <c r="C43" s="202">
        <f t="shared" si="2"/>
        <v>403.68976268772991</v>
      </c>
      <c r="D43" s="117">
        <f t="shared" si="14"/>
        <v>1200000</v>
      </c>
      <c r="E43" s="117">
        <f t="shared" si="3"/>
        <v>120631424.03536214</v>
      </c>
      <c r="F43" s="117">
        <f t="shared" si="4"/>
        <v>80631424.035362154</v>
      </c>
      <c r="G43" s="117">
        <f t="shared" si="5"/>
        <v>177.95542850671612</v>
      </c>
      <c r="H43" s="117">
        <f t="shared" si="1"/>
        <v>-177.89985861160744</v>
      </c>
      <c r="I43" s="117">
        <f t="shared" si="6"/>
        <v>120.63142403536214</v>
      </c>
      <c r="J43" s="117">
        <f t="shared" si="7"/>
        <v>80.631424035362159</v>
      </c>
      <c r="K43" s="103">
        <f t="shared" si="8"/>
        <v>310.35092480300068</v>
      </c>
      <c r="L43" s="103">
        <f t="shared" si="9"/>
        <v>49.393883775538661</v>
      </c>
      <c r="M43" s="144">
        <f t="shared" si="10"/>
        <v>0.6061162244613385</v>
      </c>
      <c r="N43" s="205">
        <f t="shared" si="11"/>
        <v>6.0000000000000001E-3</v>
      </c>
      <c r="O43" s="205">
        <f t="shared" si="12"/>
        <v>1.212232448922677E-2</v>
      </c>
      <c r="P43" s="203"/>
      <c r="Q43" s="203"/>
    </row>
    <row r="44" spans="1:17">
      <c r="A44" s="117">
        <v>29</v>
      </c>
      <c r="B44" s="202">
        <f t="shared" si="0"/>
        <v>603.63669734676807</v>
      </c>
      <c r="C44" s="202">
        <f t="shared" si="2"/>
        <v>403.63669734676802</v>
      </c>
      <c r="D44" s="117">
        <f t="shared" si="14"/>
        <v>1200000</v>
      </c>
      <c r="E44" s="117">
        <f t="shared" si="3"/>
        <v>120663395.84669264</v>
      </c>
      <c r="F44" s="117">
        <f t="shared" si="4"/>
        <v>80663395.846692637</v>
      </c>
      <c r="G44" s="117">
        <f t="shared" si="5"/>
        <v>178.01196708241443</v>
      </c>
      <c r="H44" s="117">
        <f t="shared" si="1"/>
        <v>-177.89985861160744</v>
      </c>
      <c r="I44" s="117">
        <f t="shared" si="6"/>
        <v>120.66339584669264</v>
      </c>
      <c r="J44" s="117">
        <f t="shared" si="7"/>
        <v>80.663395846692637</v>
      </c>
      <c r="K44" s="103">
        <f t="shared" si="8"/>
        <v>310.4630332738077</v>
      </c>
      <c r="L44" s="103">
        <f t="shared" si="9"/>
        <v>49.411726392830076</v>
      </c>
      <c r="M44" s="144">
        <f t="shared" si="10"/>
        <v>0.58827360716992416</v>
      </c>
      <c r="N44" s="205">
        <f t="shared" si="11"/>
        <v>6.0000000000000001E-3</v>
      </c>
      <c r="O44" s="205">
        <f t="shared" si="12"/>
        <v>1.1765472143398483E-2</v>
      </c>
      <c r="P44" s="203"/>
      <c r="Q44" s="203"/>
    </row>
    <row r="45" spans="1:17">
      <c r="A45" s="117">
        <v>30</v>
      </c>
      <c r="B45" s="202">
        <f t="shared" si="0"/>
        <v>603.52964164301954</v>
      </c>
      <c r="C45" s="202">
        <f t="shared" si="2"/>
        <v>403.52964164301954</v>
      </c>
      <c r="D45" s="117">
        <f t="shared" si="14"/>
        <v>1200000</v>
      </c>
      <c r="E45" s="117">
        <f t="shared" si="3"/>
        <v>120677573.34066305</v>
      </c>
      <c r="F45" s="117">
        <f t="shared" si="4"/>
        <v>80677573.340663046</v>
      </c>
      <c r="G45" s="117">
        <f t="shared" si="5"/>
        <v>178.03703839625939</v>
      </c>
      <c r="H45" s="117">
        <f t="shared" si="1"/>
        <v>-177.89985861160744</v>
      </c>
      <c r="I45" s="117">
        <f t="shared" si="6"/>
        <v>120.67757334066305</v>
      </c>
      <c r="J45" s="117">
        <f t="shared" si="7"/>
        <v>80.677573340663045</v>
      </c>
      <c r="K45" s="103">
        <f t="shared" si="8"/>
        <v>310.60021305845964</v>
      </c>
      <c r="L45" s="103">
        <f t="shared" si="9"/>
        <v>49.43355923364971</v>
      </c>
      <c r="M45" s="144">
        <f t="shared" si="10"/>
        <v>0.56644076635028995</v>
      </c>
      <c r="N45" s="205">
        <f t="shared" si="11"/>
        <v>6.0000000000000001E-3</v>
      </c>
      <c r="O45" s="205">
        <f t="shared" si="12"/>
        <v>1.1328815327005798E-2</v>
      </c>
      <c r="P45" s="203"/>
      <c r="Q45" s="203"/>
    </row>
    <row r="46" spans="1:17">
      <c r="A46" s="117">
        <v>31</v>
      </c>
      <c r="B46" s="202">
        <f t="shared" si="0"/>
        <v>603.39864459810178</v>
      </c>
      <c r="C46" s="202">
        <f t="shared" si="2"/>
        <v>403.39864459810173</v>
      </c>
      <c r="D46" s="117">
        <f t="shared" si="14"/>
        <v>1200000</v>
      </c>
      <c r="E46" s="117">
        <f t="shared" si="3"/>
        <v>120678291.86698213</v>
      </c>
      <c r="F46" s="117">
        <f t="shared" si="4"/>
        <v>80678291.866982132</v>
      </c>
      <c r="G46" s="117">
        <f t="shared" si="5"/>
        <v>178.03830902976409</v>
      </c>
      <c r="H46" s="117">
        <f t="shared" si="1"/>
        <v>-177.89985861160744</v>
      </c>
      <c r="I46" s="117">
        <f t="shared" si="6"/>
        <v>120.67829186698214</v>
      </c>
      <c r="J46" s="117">
        <f t="shared" si="7"/>
        <v>80.678291866982136</v>
      </c>
      <c r="K46" s="103">
        <f t="shared" si="8"/>
        <v>310.7386634766163</v>
      </c>
      <c r="L46" s="103">
        <f t="shared" si="9"/>
        <v>49.455594302072484</v>
      </c>
      <c r="M46" s="144">
        <f t="shared" si="10"/>
        <v>0.54440569792751603</v>
      </c>
      <c r="N46" s="205">
        <f t="shared" si="11"/>
        <v>6.0000000000000001E-3</v>
      </c>
      <c r="O46" s="205">
        <f t="shared" si="12"/>
        <v>1.088811395855032E-2</v>
      </c>
      <c r="P46" s="203"/>
      <c r="Q46" s="203"/>
    </row>
    <row r="47" spans="1:17">
      <c r="A47" s="117">
        <v>32</v>
      </c>
      <c r="B47" s="202">
        <f t="shared" ref="B47:B78" si="15">$B$7+$Q$2*M46</f>
        <v>603.2664341875651</v>
      </c>
      <c r="C47" s="202">
        <f t="shared" si="2"/>
        <v>403.2664341875651</v>
      </c>
      <c r="D47" s="117">
        <f t="shared" si="14"/>
        <v>1200000</v>
      </c>
      <c r="E47" s="117">
        <f t="shared" si="3"/>
        <v>120669956.85715909</v>
      </c>
      <c r="F47" s="117">
        <f t="shared" si="4"/>
        <v>80669956.857159093</v>
      </c>
      <c r="G47" s="117">
        <f t="shared" si="5"/>
        <v>178.0235694962746</v>
      </c>
      <c r="H47" s="117">
        <f t="shared" ref="H47:H78" si="16">- $M$11-D47*$M$10</f>
        <v>-177.89985861160744</v>
      </c>
      <c r="I47" s="117">
        <f t="shared" si="6"/>
        <v>120.66995685715909</v>
      </c>
      <c r="J47" s="117">
        <f t="shared" si="7"/>
        <v>80.669956857159093</v>
      </c>
      <c r="K47" s="103">
        <f t="shared" si="8"/>
        <v>310.86237436128346</v>
      </c>
      <c r="L47" s="103">
        <f t="shared" si="9"/>
        <v>49.475283500881531</v>
      </c>
      <c r="M47" s="144">
        <f t="shared" si="10"/>
        <v>0.52471649911846896</v>
      </c>
      <c r="N47" s="205">
        <f t="shared" si="11"/>
        <v>6.0000000000000001E-3</v>
      </c>
      <c r="O47" s="205">
        <f t="shared" si="12"/>
        <v>1.0494329982369379E-2</v>
      </c>
      <c r="P47" s="203"/>
      <c r="Q47" s="203"/>
    </row>
    <row r="48" spans="1:17">
      <c r="A48" s="117">
        <v>33</v>
      </c>
      <c r="B48" s="202">
        <f t="shared" si="15"/>
        <v>603.14829899471079</v>
      </c>
      <c r="C48" s="202">
        <f t="shared" si="2"/>
        <v>403.14829899471079</v>
      </c>
      <c r="D48" s="117">
        <f t="shared" si="14"/>
        <v>1200000</v>
      </c>
      <c r="E48" s="117">
        <f t="shared" si="3"/>
        <v>120656524.50442012</v>
      </c>
      <c r="F48" s="117">
        <f t="shared" si="4"/>
        <v>80656524.504420117</v>
      </c>
      <c r="G48" s="117">
        <f t="shared" si="5"/>
        <v>177.9998158814328</v>
      </c>
      <c r="H48" s="117">
        <f t="shared" si="16"/>
        <v>-177.89985861160744</v>
      </c>
      <c r="I48" s="117">
        <f t="shared" si="6"/>
        <v>120.65652450442012</v>
      </c>
      <c r="J48" s="117">
        <f t="shared" si="7"/>
        <v>80.656524504420119</v>
      </c>
      <c r="K48" s="103">
        <f t="shared" si="8"/>
        <v>310.96233163110878</v>
      </c>
      <c r="L48" s="103">
        <f t="shared" si="9"/>
        <v>49.491192194472205</v>
      </c>
      <c r="M48" s="144">
        <f t="shared" si="10"/>
        <v>0.5088078055277947</v>
      </c>
      <c r="N48" s="205">
        <f t="shared" si="11"/>
        <v>6.0000000000000001E-3</v>
      </c>
      <c r="O48" s="205">
        <f t="shared" si="12"/>
        <v>1.0176156110555895E-2</v>
      </c>
      <c r="P48" s="203"/>
      <c r="Q48" s="203"/>
    </row>
    <row r="49" spans="1:17">
      <c r="A49" s="117">
        <v>34</v>
      </c>
      <c r="B49" s="202">
        <f t="shared" si="15"/>
        <v>603.05284683316677</v>
      </c>
      <c r="C49" s="202">
        <f t="shared" si="2"/>
        <v>403.05284683316677</v>
      </c>
      <c r="D49" s="117">
        <f t="shared" si="14"/>
        <v>1200000</v>
      </c>
      <c r="E49" s="117">
        <f t="shared" si="3"/>
        <v>120641206.12515786</v>
      </c>
      <c r="F49" s="117">
        <f t="shared" si="4"/>
        <v>80641206.125157863</v>
      </c>
      <c r="G49" s="117">
        <f t="shared" si="5"/>
        <v>177.97272703943563</v>
      </c>
      <c r="H49" s="117">
        <f t="shared" si="16"/>
        <v>-177.89985861160744</v>
      </c>
      <c r="I49" s="117">
        <f t="shared" si="6"/>
        <v>120.64120612515786</v>
      </c>
      <c r="J49" s="117">
        <f t="shared" si="7"/>
        <v>80.641206125157865</v>
      </c>
      <c r="K49" s="103">
        <f t="shared" si="8"/>
        <v>311.03520005893699</v>
      </c>
      <c r="L49" s="103">
        <f t="shared" si="9"/>
        <v>49.502789564956402</v>
      </c>
      <c r="M49" s="144">
        <f t="shared" si="10"/>
        <v>0.49721043504359841</v>
      </c>
      <c r="N49" s="205">
        <f t="shared" si="11"/>
        <v>6.0000000000000001E-3</v>
      </c>
      <c r="O49" s="205">
        <f t="shared" si="12"/>
        <v>9.9442087008719676E-3</v>
      </c>
      <c r="P49" s="203"/>
      <c r="Q49" s="203"/>
    </row>
    <row r="50" spans="1:17">
      <c r="A50" s="117">
        <v>35</v>
      </c>
      <c r="B50" s="202">
        <f t="shared" si="15"/>
        <v>602.98326261026159</v>
      </c>
      <c r="C50" s="202">
        <f t="shared" si="2"/>
        <v>402.98326261026159</v>
      </c>
      <c r="D50" s="117">
        <f t="shared" si="14"/>
        <v>1200000</v>
      </c>
      <c r="E50" s="117">
        <f t="shared" si="3"/>
        <v>120626354.92412269</v>
      </c>
      <c r="F50" s="117">
        <f t="shared" si="4"/>
        <v>80626354.924122676</v>
      </c>
      <c r="G50" s="117">
        <f t="shared" si="5"/>
        <v>177.94646434992899</v>
      </c>
      <c r="H50" s="117">
        <f t="shared" si="16"/>
        <v>-177.89985861160744</v>
      </c>
      <c r="I50" s="117">
        <f t="shared" si="6"/>
        <v>120.62635492412269</v>
      </c>
      <c r="J50" s="117">
        <f t="shared" si="7"/>
        <v>80.62635492412268</v>
      </c>
      <c r="K50" s="103">
        <f t="shared" si="8"/>
        <v>311.08180579725854</v>
      </c>
      <c r="L50" s="103">
        <f t="shared" si="9"/>
        <v>49.510207098586719</v>
      </c>
      <c r="M50" s="144">
        <f t="shared" si="10"/>
        <v>0.48979290141328136</v>
      </c>
      <c r="N50" s="205">
        <f t="shared" si="11"/>
        <v>6.0000000000000001E-3</v>
      </c>
      <c r="O50" s="205">
        <f t="shared" si="12"/>
        <v>9.795858028265627E-3</v>
      </c>
      <c r="P50" s="203"/>
      <c r="Q50" s="203"/>
    </row>
    <row r="51" spans="1:17">
      <c r="A51" s="117">
        <v>36</v>
      </c>
      <c r="B51" s="202">
        <f t="shared" si="15"/>
        <v>602.93875740847966</v>
      </c>
      <c r="C51" s="202">
        <f t="shared" si="2"/>
        <v>402.93875740847966</v>
      </c>
      <c r="D51" s="117">
        <f t="shared" si="14"/>
        <v>1200000</v>
      </c>
      <c r="E51" s="117">
        <f t="shared" si="3"/>
        <v>120613487.10998043</v>
      </c>
      <c r="F51" s="117">
        <f t="shared" si="4"/>
        <v>80613487.109980419</v>
      </c>
      <c r="G51" s="117">
        <f t="shared" si="5"/>
        <v>177.923709058512</v>
      </c>
      <c r="H51" s="117">
        <f t="shared" si="16"/>
        <v>-177.89985861160744</v>
      </c>
      <c r="I51" s="117">
        <f t="shared" si="6"/>
        <v>120.61348710998044</v>
      </c>
      <c r="J51" s="117">
        <f t="shared" si="7"/>
        <v>80.613487109980426</v>
      </c>
      <c r="K51" s="103">
        <f t="shared" si="8"/>
        <v>311.10565624416313</v>
      </c>
      <c r="L51" s="103">
        <f t="shared" si="9"/>
        <v>49.514003015106539</v>
      </c>
      <c r="M51" s="144">
        <f t="shared" si="10"/>
        <v>0.4859969848934611</v>
      </c>
      <c r="N51" s="205">
        <f t="shared" si="11"/>
        <v>6.0000000000000001E-3</v>
      </c>
      <c r="O51" s="205">
        <f t="shared" si="12"/>
        <v>9.7199396978692228E-3</v>
      </c>
      <c r="P51" s="203"/>
      <c r="Q51" s="203"/>
    </row>
    <row r="52" spans="1:17">
      <c r="A52" s="117">
        <v>37</v>
      </c>
      <c r="B52" s="202">
        <f t="shared" si="15"/>
        <v>602.91598190936077</v>
      </c>
      <c r="C52" s="202">
        <f t="shared" si="2"/>
        <v>402.91598190936077</v>
      </c>
      <c r="D52" s="117">
        <f t="shared" si="14"/>
        <v>1200000</v>
      </c>
      <c r="E52" s="117">
        <f t="shared" si="3"/>
        <v>120603390.200611</v>
      </c>
      <c r="F52" s="117">
        <f t="shared" si="4"/>
        <v>80603390.200610995</v>
      </c>
      <c r="G52" s="117">
        <f t="shared" si="5"/>
        <v>177.90585380255536</v>
      </c>
      <c r="H52" s="117">
        <f t="shared" si="16"/>
        <v>-177.89985861160744</v>
      </c>
      <c r="I52" s="117">
        <f t="shared" si="6"/>
        <v>120.60339020061099</v>
      </c>
      <c r="J52" s="117">
        <f t="shared" si="7"/>
        <v>80.603390200610988</v>
      </c>
      <c r="K52" s="103">
        <f t="shared" si="8"/>
        <v>311.11165143511107</v>
      </c>
      <c r="L52" s="103">
        <f t="shared" si="9"/>
        <v>49.51495717938068</v>
      </c>
      <c r="M52" s="144">
        <f t="shared" si="10"/>
        <v>0.48504282061932003</v>
      </c>
      <c r="N52" s="205">
        <f t="shared" si="11"/>
        <v>6.0000000000000001E-3</v>
      </c>
      <c r="O52" s="205">
        <f t="shared" si="12"/>
        <v>9.7008564123864001E-3</v>
      </c>
      <c r="P52" s="203"/>
      <c r="Q52" s="203"/>
    </row>
    <row r="53" spans="1:17">
      <c r="A53" s="117">
        <v>38</v>
      </c>
      <c r="B53" s="202">
        <f t="shared" si="15"/>
        <v>602.91025692371591</v>
      </c>
      <c r="C53" s="202">
        <f t="shared" si="2"/>
        <v>402.91025692371591</v>
      </c>
      <c r="D53" s="117">
        <f t="shared" si="14"/>
        <v>1200000</v>
      </c>
      <c r="E53" s="117">
        <f t="shared" si="3"/>
        <v>120596277.2619884</v>
      </c>
      <c r="F53" s="117">
        <f t="shared" si="4"/>
        <v>80596277.261988387</v>
      </c>
      <c r="G53" s="117">
        <f t="shared" si="5"/>
        <v>177.89327536542541</v>
      </c>
      <c r="H53" s="117">
        <f t="shared" si="16"/>
        <v>-177.89985861160744</v>
      </c>
      <c r="I53" s="117">
        <f t="shared" si="6"/>
        <v>120.5962772619884</v>
      </c>
      <c r="J53" s="117">
        <f t="shared" si="7"/>
        <v>80.596277261988391</v>
      </c>
      <c r="K53" s="103">
        <f t="shared" si="8"/>
        <v>311.10506818892907</v>
      </c>
      <c r="L53" s="103">
        <f t="shared" si="9"/>
        <v>49.513909423209228</v>
      </c>
      <c r="M53" s="144">
        <f t="shared" si="10"/>
        <v>0.48609057679077239</v>
      </c>
      <c r="N53" s="205">
        <f t="shared" si="11"/>
        <v>6.0000000000000001E-3</v>
      </c>
      <c r="O53" s="205">
        <f t="shared" si="12"/>
        <v>9.7218115358154479E-3</v>
      </c>
      <c r="P53" s="203"/>
      <c r="Q53" s="203"/>
    </row>
    <row r="54" spans="1:17">
      <c r="A54" s="117">
        <v>39</v>
      </c>
      <c r="B54" s="202">
        <f t="shared" si="15"/>
        <v>602.91654346074461</v>
      </c>
      <c r="C54" s="202">
        <f t="shared" si="2"/>
        <v>402.91654346074461</v>
      </c>
      <c r="D54" s="117">
        <f t="shared" si="14"/>
        <v>1200000</v>
      </c>
      <c r="E54" s="117">
        <f t="shared" si="3"/>
        <v>120591954.40537524</v>
      </c>
      <c r="F54" s="117">
        <f t="shared" si="4"/>
        <v>80591954.405375227</v>
      </c>
      <c r="G54" s="117">
        <f t="shared" si="5"/>
        <v>177.88563087655584</v>
      </c>
      <c r="H54" s="117">
        <f t="shared" si="16"/>
        <v>-177.89985861160744</v>
      </c>
      <c r="I54" s="117">
        <f t="shared" si="6"/>
        <v>120.59195440537525</v>
      </c>
      <c r="J54" s="117">
        <f t="shared" si="7"/>
        <v>80.591954405375233</v>
      </c>
      <c r="K54" s="103">
        <f t="shared" si="8"/>
        <v>311.09084045387749</v>
      </c>
      <c r="L54" s="103">
        <f t="shared" si="9"/>
        <v>49.511645008846763</v>
      </c>
      <c r="M54" s="144">
        <f t="shared" si="10"/>
        <v>0.48835499115323699</v>
      </c>
      <c r="N54" s="205">
        <f t="shared" si="11"/>
        <v>6.0000000000000001E-3</v>
      </c>
      <c r="O54" s="205">
        <f t="shared" si="12"/>
        <v>9.7670998230647392E-3</v>
      </c>
      <c r="P54" s="203"/>
      <c r="Q54" s="203"/>
    </row>
    <row r="55" spans="1:17">
      <c r="A55" s="117">
        <v>40</v>
      </c>
      <c r="B55" s="202">
        <f t="shared" si="15"/>
        <v>602.93012994691946</v>
      </c>
      <c r="C55" s="202">
        <f t="shared" si="2"/>
        <v>402.93012994691941</v>
      </c>
      <c r="D55" s="117">
        <f t="shared" si="14"/>
        <v>1200000</v>
      </c>
      <c r="E55" s="117">
        <f t="shared" si="3"/>
        <v>120589978.26671144</v>
      </c>
      <c r="F55" s="117">
        <f t="shared" si="4"/>
        <v>80589978.266711444</v>
      </c>
      <c r="G55" s="117">
        <f t="shared" si="5"/>
        <v>177.88213629614941</v>
      </c>
      <c r="H55" s="117">
        <f t="shared" si="16"/>
        <v>-177.89985861160744</v>
      </c>
      <c r="I55" s="117">
        <f t="shared" si="6"/>
        <v>120.58997826671144</v>
      </c>
      <c r="J55" s="117">
        <f t="shared" si="7"/>
        <v>80.589978266711441</v>
      </c>
      <c r="K55" s="103">
        <f t="shared" si="8"/>
        <v>311.07311813841943</v>
      </c>
      <c r="L55" s="103">
        <f t="shared" si="9"/>
        <v>49.508824414738584</v>
      </c>
      <c r="M55" s="144">
        <f t="shared" si="10"/>
        <v>0.49117558526141636</v>
      </c>
      <c r="N55" s="205">
        <f t="shared" si="11"/>
        <v>6.0000000000000001E-3</v>
      </c>
      <c r="O55" s="205">
        <f t="shared" si="12"/>
        <v>9.8235117052283272E-3</v>
      </c>
      <c r="P55" s="203"/>
      <c r="Q55" s="203"/>
    </row>
    <row r="56" spans="1:17">
      <c r="A56" s="117">
        <v>41</v>
      </c>
      <c r="B56" s="202">
        <f t="shared" si="15"/>
        <v>602.94705351156847</v>
      </c>
      <c r="C56" s="202">
        <f t="shared" si="2"/>
        <v>402.94705351156847</v>
      </c>
      <c r="D56" s="117">
        <f t="shared" si="14"/>
        <v>1200000</v>
      </c>
      <c r="E56" s="117">
        <f t="shared" si="3"/>
        <v>120589789.07857886</v>
      </c>
      <c r="F56" s="117">
        <f t="shared" si="4"/>
        <v>80589789.07857886</v>
      </c>
      <c r="G56" s="117">
        <f t="shared" si="5"/>
        <v>177.88180173807748</v>
      </c>
      <c r="H56" s="117">
        <f t="shared" si="16"/>
        <v>-177.89985861160744</v>
      </c>
      <c r="I56" s="117">
        <f t="shared" si="6"/>
        <v>120.58978907857886</v>
      </c>
      <c r="J56" s="117">
        <f t="shared" si="7"/>
        <v>80.58978907857886</v>
      </c>
      <c r="K56" s="103">
        <f t="shared" si="8"/>
        <v>311.05506126488945</v>
      </c>
      <c r="L56" s="103">
        <f t="shared" si="9"/>
        <v>49.505950574059497</v>
      </c>
      <c r="M56" s="144">
        <f t="shared" si="10"/>
        <v>0.49404942594050283</v>
      </c>
      <c r="N56" s="205">
        <f t="shared" si="11"/>
        <v>6.0000000000000001E-3</v>
      </c>
      <c r="O56" s="205">
        <f t="shared" si="12"/>
        <v>9.880988518810056E-3</v>
      </c>
      <c r="P56" s="203"/>
      <c r="Q56" s="203"/>
    </row>
    <row r="57" spans="1:17">
      <c r="A57" s="117">
        <v>42</v>
      </c>
      <c r="B57" s="202">
        <f t="shared" si="15"/>
        <v>602.96429655564305</v>
      </c>
      <c r="C57" s="202">
        <f t="shared" si="2"/>
        <v>402.96429655564305</v>
      </c>
      <c r="D57" s="117">
        <f t="shared" si="14"/>
        <v>1200000</v>
      </c>
      <c r="E57" s="117">
        <f t="shared" si="3"/>
        <v>120590812.48942877</v>
      </c>
      <c r="F57" s="117">
        <f t="shared" si="4"/>
        <v>80590812.489428774</v>
      </c>
      <c r="G57" s="117">
        <f t="shared" si="5"/>
        <v>177.88361152580612</v>
      </c>
      <c r="H57" s="117">
        <f t="shared" si="16"/>
        <v>-177.89985861160744</v>
      </c>
      <c r="I57" s="117">
        <f t="shared" si="6"/>
        <v>120.59081248942877</v>
      </c>
      <c r="J57" s="117">
        <f t="shared" si="7"/>
        <v>80.590812489428771</v>
      </c>
      <c r="K57" s="103">
        <f t="shared" si="8"/>
        <v>311.03881417908815</v>
      </c>
      <c r="L57" s="103">
        <f t="shared" si="9"/>
        <v>49.503364770043383</v>
      </c>
      <c r="M57" s="144">
        <f t="shared" si="10"/>
        <v>0.4966352299566168</v>
      </c>
      <c r="N57" s="205">
        <f t="shared" si="11"/>
        <v>6.0000000000000001E-3</v>
      </c>
      <c r="O57" s="205">
        <f t="shared" si="12"/>
        <v>9.9327045991323363E-3</v>
      </c>
      <c r="P57" s="203"/>
      <c r="Q57" s="203"/>
    </row>
    <row r="58" spans="1:17">
      <c r="A58" s="117">
        <v>43</v>
      </c>
      <c r="B58" s="202">
        <f t="shared" si="15"/>
        <v>602.97981137973966</v>
      </c>
      <c r="C58" s="202">
        <f t="shared" si="2"/>
        <v>402.97981137973971</v>
      </c>
      <c r="D58" s="117">
        <f t="shared" si="14"/>
        <v>1200000</v>
      </c>
      <c r="E58" s="117">
        <f t="shared" si="3"/>
        <v>120592529.08493514</v>
      </c>
      <c r="F58" s="117">
        <f t="shared" si="4"/>
        <v>80592529.084935158</v>
      </c>
      <c r="G58" s="117">
        <f t="shared" si="5"/>
        <v>177.88664713314091</v>
      </c>
      <c r="H58" s="117">
        <f t="shared" si="16"/>
        <v>-177.89985861160744</v>
      </c>
      <c r="I58" s="117">
        <f t="shared" si="6"/>
        <v>120.59252908493514</v>
      </c>
      <c r="J58" s="117">
        <f t="shared" si="7"/>
        <v>80.592529084935165</v>
      </c>
      <c r="K58" s="103">
        <f t="shared" si="8"/>
        <v>311.02560270062162</v>
      </c>
      <c r="L58" s="103">
        <f t="shared" si="9"/>
        <v>49.501262097939886</v>
      </c>
      <c r="M58" s="144">
        <f t="shared" si="10"/>
        <v>0.49873790206011392</v>
      </c>
      <c r="N58" s="205">
        <f t="shared" si="11"/>
        <v>6.0000000000000001E-3</v>
      </c>
      <c r="O58" s="205">
        <f t="shared" si="12"/>
        <v>9.9747580412022779E-3</v>
      </c>
      <c r="P58" s="203"/>
      <c r="Q58" s="203"/>
    </row>
    <row r="59" spans="1:17">
      <c r="A59" s="117">
        <v>44</v>
      </c>
      <c r="B59" s="202">
        <f t="shared" si="15"/>
        <v>602.99242741236071</v>
      </c>
      <c r="C59" s="202">
        <f t="shared" si="2"/>
        <v>402.99242741236071</v>
      </c>
      <c r="D59" s="117">
        <f t="shared" si="14"/>
        <v>1200000</v>
      </c>
      <c r="E59" s="117">
        <f t="shared" si="3"/>
        <v>120594514.5507808</v>
      </c>
      <c r="F59" s="117">
        <f t="shared" si="4"/>
        <v>80594514.550780803</v>
      </c>
      <c r="G59" s="117">
        <f t="shared" si="5"/>
        <v>177.89015820762617</v>
      </c>
      <c r="H59" s="117">
        <f t="shared" si="16"/>
        <v>-177.89985861160744</v>
      </c>
      <c r="I59" s="117">
        <f t="shared" si="6"/>
        <v>120.5945145507808</v>
      </c>
      <c r="J59" s="117">
        <f t="shared" si="7"/>
        <v>80.594514550780801</v>
      </c>
      <c r="K59" s="103">
        <f t="shared" si="8"/>
        <v>311.01590229664032</v>
      </c>
      <c r="L59" s="103">
        <f t="shared" si="9"/>
        <v>49.499718230696274</v>
      </c>
      <c r="M59" s="144">
        <f t="shared" si="10"/>
        <v>0.50028176930372581</v>
      </c>
      <c r="N59" s="205">
        <f t="shared" si="11"/>
        <v>6.0000000000000001E-3</v>
      </c>
      <c r="O59" s="205">
        <f t="shared" si="12"/>
        <v>1.0005635386074517E-2</v>
      </c>
      <c r="P59" s="203"/>
      <c r="Q59" s="203"/>
    </row>
    <row r="60" spans="1:17">
      <c r="A60" s="117">
        <v>45</v>
      </c>
      <c r="B60" s="202">
        <f t="shared" si="15"/>
        <v>603.00169061582233</v>
      </c>
      <c r="C60" s="202">
        <f t="shared" si="2"/>
        <v>403.00169061582233</v>
      </c>
      <c r="D60" s="117">
        <f t="shared" si="14"/>
        <v>1200000</v>
      </c>
      <c r="E60" s="117">
        <f t="shared" si="3"/>
        <v>120596455.74157536</v>
      </c>
      <c r="F60" s="117">
        <f t="shared" si="4"/>
        <v>80596455.74157536</v>
      </c>
      <c r="G60" s="117">
        <f t="shared" si="5"/>
        <v>177.89359098663104</v>
      </c>
      <c r="H60" s="117">
        <f t="shared" si="16"/>
        <v>-177.89985861160744</v>
      </c>
      <c r="I60" s="117">
        <f t="shared" si="6"/>
        <v>120.59645574157535</v>
      </c>
      <c r="J60" s="117">
        <f t="shared" si="7"/>
        <v>80.596455741575355</v>
      </c>
      <c r="K60" s="103">
        <f t="shared" si="8"/>
        <v>311.00963467166389</v>
      </c>
      <c r="L60" s="103">
        <f t="shared" si="9"/>
        <v>49.49872070719983</v>
      </c>
      <c r="M60" s="144">
        <f t="shared" si="10"/>
        <v>0.50127929280017014</v>
      </c>
      <c r="N60" s="205">
        <f t="shared" si="11"/>
        <v>6.0000000000000001E-3</v>
      </c>
      <c r="O60" s="205">
        <f t="shared" si="12"/>
        <v>1.0025585856003404E-2</v>
      </c>
      <c r="P60" s="203"/>
      <c r="Q60" s="203"/>
    </row>
    <row r="61" spans="1:17">
      <c r="A61" s="117">
        <v>46</v>
      </c>
      <c r="B61" s="202">
        <f t="shared" si="15"/>
        <v>603.00767575680106</v>
      </c>
      <c r="C61" s="202">
        <f t="shared" si="2"/>
        <v>403.00767575680101</v>
      </c>
      <c r="D61" s="117">
        <f t="shared" si="14"/>
        <v>1200000</v>
      </c>
      <c r="E61" s="117">
        <f t="shared" si="3"/>
        <v>120598148.87817031</v>
      </c>
      <c r="F61" s="117">
        <f t="shared" si="4"/>
        <v>80598148.878170311</v>
      </c>
      <c r="G61" s="117">
        <f t="shared" si="5"/>
        <v>177.89658510950233</v>
      </c>
      <c r="H61" s="117">
        <f t="shared" si="16"/>
        <v>-177.89985861160744</v>
      </c>
      <c r="I61" s="117">
        <f t="shared" si="6"/>
        <v>120.59814887817031</v>
      </c>
      <c r="J61" s="117">
        <f t="shared" si="7"/>
        <v>80.598148878170306</v>
      </c>
      <c r="K61" s="103">
        <f t="shared" si="8"/>
        <v>311.00636116955877</v>
      </c>
      <c r="L61" s="103">
        <f t="shared" si="9"/>
        <v>49.498199713158577</v>
      </c>
      <c r="M61" s="144">
        <f t="shared" si="10"/>
        <v>0.50180028684142286</v>
      </c>
      <c r="N61" s="205">
        <f t="shared" si="11"/>
        <v>6.0000000000000001E-3</v>
      </c>
      <c r="O61" s="205">
        <f t="shared" si="12"/>
        <v>1.0036005736828457E-2</v>
      </c>
      <c r="P61" s="203"/>
      <c r="Q61" s="203"/>
    </row>
    <row r="62" spans="1:17">
      <c r="A62" s="117">
        <v>47</v>
      </c>
      <c r="B62" s="202">
        <f t="shared" si="15"/>
        <v>603.01080172104855</v>
      </c>
      <c r="C62" s="202">
        <f t="shared" si="2"/>
        <v>403.01080172104855</v>
      </c>
      <c r="D62" s="117">
        <f t="shared" si="14"/>
        <v>1200000</v>
      </c>
      <c r="E62" s="117">
        <f t="shared" si="3"/>
        <v>120599486.03351678</v>
      </c>
      <c r="F62" s="117">
        <f t="shared" si="4"/>
        <v>80599486.03351678</v>
      </c>
      <c r="G62" s="117">
        <f t="shared" si="5"/>
        <v>177.89894971931423</v>
      </c>
      <c r="H62" s="117">
        <f t="shared" si="16"/>
        <v>-177.89985861160744</v>
      </c>
      <c r="I62" s="117">
        <f t="shared" si="6"/>
        <v>120.59948603351678</v>
      </c>
      <c r="J62" s="117">
        <f t="shared" si="7"/>
        <v>80.599486033516783</v>
      </c>
      <c r="K62" s="103">
        <f t="shared" si="8"/>
        <v>311.00545227726559</v>
      </c>
      <c r="L62" s="103">
        <f t="shared" si="9"/>
        <v>49.498055058457375</v>
      </c>
      <c r="M62" s="144">
        <f t="shared" si="10"/>
        <v>0.50194494154262514</v>
      </c>
      <c r="N62" s="205">
        <f t="shared" si="11"/>
        <v>6.0000000000000001E-3</v>
      </c>
      <c r="O62" s="205">
        <f t="shared" si="12"/>
        <v>1.0038898830852502E-2</v>
      </c>
      <c r="P62" s="203"/>
      <c r="Q62" s="203"/>
    </row>
    <row r="63" spans="1:17">
      <c r="A63" s="117">
        <v>48</v>
      </c>
      <c r="B63" s="202">
        <f t="shared" si="15"/>
        <v>603.01166964925574</v>
      </c>
      <c r="C63" s="202">
        <f t="shared" si="2"/>
        <v>403.01166964925574</v>
      </c>
      <c r="D63" s="117">
        <f t="shared" si="14"/>
        <v>1200000</v>
      </c>
      <c r="E63" s="117">
        <f t="shared" si="3"/>
        <v>120600435.3322949</v>
      </c>
      <c r="F63" s="117">
        <f t="shared" si="4"/>
        <v>80600435.332294896</v>
      </c>
      <c r="G63" s="117">
        <f t="shared" si="5"/>
        <v>177.90062844812545</v>
      </c>
      <c r="H63" s="117">
        <f t="shared" si="16"/>
        <v>-177.89985861160744</v>
      </c>
      <c r="I63" s="117">
        <f t="shared" si="6"/>
        <v>120.60043533229489</v>
      </c>
      <c r="J63" s="117">
        <f t="shared" si="7"/>
        <v>80.600435332294893</v>
      </c>
      <c r="K63" s="103">
        <f t="shared" si="8"/>
        <v>311.00622211378356</v>
      </c>
      <c r="L63" s="103">
        <f t="shared" si="9"/>
        <v>49.498177581744585</v>
      </c>
      <c r="M63" s="144">
        <f t="shared" si="10"/>
        <v>0.50182241825541496</v>
      </c>
      <c r="N63" s="205">
        <f t="shared" si="11"/>
        <v>6.0000000000000001E-3</v>
      </c>
      <c r="O63" s="205">
        <f t="shared" si="12"/>
        <v>1.0036448365108299E-2</v>
      </c>
      <c r="P63" s="203"/>
      <c r="Q63" s="203"/>
    </row>
    <row r="64" spans="1:17">
      <c r="A64" s="117">
        <v>49</v>
      </c>
      <c r="B64" s="202">
        <f t="shared" si="15"/>
        <v>603.01093450953249</v>
      </c>
      <c r="C64" s="202">
        <f t="shared" si="2"/>
        <v>403.01093450953249</v>
      </c>
      <c r="D64" s="117">
        <f t="shared" si="14"/>
        <v>1200000</v>
      </c>
      <c r="E64" s="117">
        <f t="shared" si="3"/>
        <v>120601019.1888321</v>
      </c>
      <c r="F64" s="117">
        <f t="shared" si="4"/>
        <v>80601019.188832104</v>
      </c>
      <c r="G64" s="117">
        <f t="shared" si="5"/>
        <v>177.90166093316938</v>
      </c>
      <c r="H64" s="117">
        <f t="shared" si="16"/>
        <v>-177.89985861160744</v>
      </c>
      <c r="I64" s="117">
        <f t="shared" si="6"/>
        <v>120.6010191888321</v>
      </c>
      <c r="J64" s="117">
        <f t="shared" si="7"/>
        <v>80.601019188832097</v>
      </c>
      <c r="K64" s="103">
        <f t="shared" si="8"/>
        <v>311.00802443534553</v>
      </c>
      <c r="L64" s="103">
        <f t="shared" si="9"/>
        <v>49.498464430130213</v>
      </c>
      <c r="M64" s="144">
        <f t="shared" si="10"/>
        <v>0.50153556986978742</v>
      </c>
      <c r="N64" s="205">
        <f t="shared" si="11"/>
        <v>6.0000000000000001E-3</v>
      </c>
      <c r="O64" s="205">
        <f t="shared" si="12"/>
        <v>1.0030711397395748E-2</v>
      </c>
      <c r="P64" s="203"/>
      <c r="Q64" s="203"/>
    </row>
    <row r="65" spans="1:17">
      <c r="A65" s="117">
        <v>50</v>
      </c>
      <c r="B65" s="202">
        <f t="shared" si="15"/>
        <v>603.00921341921867</v>
      </c>
      <c r="C65" s="202">
        <f t="shared" si="2"/>
        <v>403.00921341921872</v>
      </c>
      <c r="D65" s="117">
        <f t="shared" si="14"/>
        <v>1200000</v>
      </c>
      <c r="E65" s="117">
        <f t="shared" si="3"/>
        <v>120601293.68716931</v>
      </c>
      <c r="F65" s="117">
        <f t="shared" si="4"/>
        <v>80601293.687169313</v>
      </c>
      <c r="G65" s="117">
        <f t="shared" si="5"/>
        <v>177.90214635280535</v>
      </c>
      <c r="H65" s="117">
        <f t="shared" si="16"/>
        <v>-177.89985861160744</v>
      </c>
      <c r="I65" s="117">
        <f t="shared" si="6"/>
        <v>120.60129368716932</v>
      </c>
      <c r="J65" s="117">
        <f t="shared" si="7"/>
        <v>80.601293687169317</v>
      </c>
      <c r="K65" s="103">
        <f t="shared" si="8"/>
        <v>311.01031217654344</v>
      </c>
      <c r="L65" s="103">
        <f t="shared" si="9"/>
        <v>49.498828535450379</v>
      </c>
      <c r="M65" s="144">
        <f t="shared" si="10"/>
        <v>0.50117146454962125</v>
      </c>
      <c r="N65" s="205">
        <f t="shared" si="11"/>
        <v>6.0000000000000001E-3</v>
      </c>
      <c r="O65" s="205">
        <f t="shared" si="12"/>
        <v>1.0023429290992425E-2</v>
      </c>
      <c r="P65" s="203"/>
      <c r="Q65" s="203"/>
    </row>
    <row r="66" spans="1:17">
      <c r="A66" s="117">
        <v>51</v>
      </c>
      <c r="B66" s="202">
        <f t="shared" si="15"/>
        <v>603.00702878729771</v>
      </c>
      <c r="C66" s="202">
        <f t="shared" si="2"/>
        <v>403.00702878729771</v>
      </c>
      <c r="D66" s="117">
        <f t="shared" si="14"/>
        <v>1200000</v>
      </c>
      <c r="E66" s="117">
        <f t="shared" si="3"/>
        <v>120601331.04393271</v>
      </c>
      <c r="F66" s="117">
        <f t="shared" si="4"/>
        <v>80601331.043932706</v>
      </c>
      <c r="G66" s="117">
        <f t="shared" si="5"/>
        <v>177.90221241406704</v>
      </c>
      <c r="H66" s="117">
        <f t="shared" si="16"/>
        <v>-177.89985861160744</v>
      </c>
      <c r="I66" s="117">
        <f t="shared" si="6"/>
        <v>120.6013310439327</v>
      </c>
      <c r="J66" s="117">
        <f t="shared" si="7"/>
        <v>80.601331043932703</v>
      </c>
      <c r="K66" s="103">
        <f t="shared" si="8"/>
        <v>311.01266597900303</v>
      </c>
      <c r="L66" s="103">
        <f t="shared" si="9"/>
        <v>49.49920315474688</v>
      </c>
      <c r="M66" s="144">
        <f t="shared" si="10"/>
        <v>0.50079684525312018</v>
      </c>
      <c r="N66" s="205">
        <f t="shared" si="11"/>
        <v>6.0000000000000001E-3</v>
      </c>
      <c r="O66" s="205">
        <f t="shared" si="12"/>
        <v>1.0015936905062403E-2</v>
      </c>
      <c r="P66" s="203"/>
      <c r="Q66" s="203"/>
    </row>
    <row r="67" spans="1:17">
      <c r="A67" s="117">
        <v>52</v>
      </c>
      <c r="B67" s="202">
        <f t="shared" si="15"/>
        <v>603.00478107151866</v>
      </c>
      <c r="C67" s="202">
        <f t="shared" si="2"/>
        <v>403.00478107151872</v>
      </c>
      <c r="D67" s="117">
        <f t="shared" si="14"/>
        <v>1200000</v>
      </c>
      <c r="E67" s="117">
        <f t="shared" si="3"/>
        <v>120601206.10072304</v>
      </c>
      <c r="F67" s="117">
        <f t="shared" si="4"/>
        <v>80601206.100723043</v>
      </c>
      <c r="G67" s="117">
        <f t="shared" si="5"/>
        <v>177.90199146596231</v>
      </c>
      <c r="H67" s="117">
        <f t="shared" si="16"/>
        <v>-177.89985861160744</v>
      </c>
      <c r="I67" s="117">
        <f t="shared" si="6"/>
        <v>120.60120610072305</v>
      </c>
      <c r="J67" s="117">
        <f t="shared" si="7"/>
        <v>80.601206100723047</v>
      </c>
      <c r="K67" s="103">
        <f t="shared" si="8"/>
        <v>311.01479883335787</v>
      </c>
      <c r="L67" s="103">
        <f t="shared" si="9"/>
        <v>49.499542609060349</v>
      </c>
      <c r="M67" s="144">
        <f t="shared" si="10"/>
        <v>0.50045739093965125</v>
      </c>
      <c r="N67" s="205">
        <f t="shared" si="11"/>
        <v>6.0000000000000001E-3</v>
      </c>
      <c r="O67" s="205">
        <f t="shared" si="12"/>
        <v>1.0009147818793024E-2</v>
      </c>
      <c r="P67" s="203"/>
      <c r="Q67" s="203"/>
    </row>
    <row r="68" spans="1:17">
      <c r="A68" s="117">
        <v>53</v>
      </c>
      <c r="B68" s="202">
        <f t="shared" si="15"/>
        <v>603.00274434563789</v>
      </c>
      <c r="C68" s="202">
        <f t="shared" si="2"/>
        <v>403.00274434563789</v>
      </c>
      <c r="D68" s="117">
        <f t="shared" si="14"/>
        <v>1200000</v>
      </c>
      <c r="E68" s="117">
        <f t="shared" si="3"/>
        <v>120600987.02352455</v>
      </c>
      <c r="F68" s="117">
        <f t="shared" si="4"/>
        <v>80600987.023524553</v>
      </c>
      <c r="G68" s="117">
        <f t="shared" si="5"/>
        <v>177.90160405241724</v>
      </c>
      <c r="H68" s="117">
        <f t="shared" si="16"/>
        <v>-177.89985861160744</v>
      </c>
      <c r="I68" s="117">
        <f t="shared" si="6"/>
        <v>120.60098702352455</v>
      </c>
      <c r="J68" s="117">
        <f t="shared" si="7"/>
        <v>80.600987023524553</v>
      </c>
      <c r="K68" s="103">
        <f t="shared" si="8"/>
        <v>311.0165442741677</v>
      </c>
      <c r="L68" s="103">
        <f t="shared" si="9"/>
        <v>49.499820404593109</v>
      </c>
      <c r="M68" s="144">
        <f t="shared" si="10"/>
        <v>0.50017959540689105</v>
      </c>
      <c r="N68" s="205">
        <f t="shared" si="11"/>
        <v>6.0000000000000001E-3</v>
      </c>
      <c r="O68" s="205">
        <f t="shared" si="12"/>
        <v>1.0003591908137821E-2</v>
      </c>
      <c r="P68" s="203"/>
      <c r="Q68" s="203"/>
    </row>
    <row r="69" spans="1:17">
      <c r="A69" s="117">
        <v>54</v>
      </c>
      <c r="B69" s="202">
        <f t="shared" si="15"/>
        <v>603.00107757244132</v>
      </c>
      <c r="C69" s="202">
        <f t="shared" si="2"/>
        <v>403.00107757244132</v>
      </c>
      <c r="D69" s="103">
        <v>0</v>
      </c>
      <c r="E69" s="117">
        <f t="shared" si="3"/>
        <v>120600729.85384579</v>
      </c>
      <c r="F69" s="117">
        <f t="shared" si="4"/>
        <v>80600729.85384579</v>
      </c>
      <c r="G69" s="117">
        <f t="shared" si="5"/>
        <v>177.90114927657737</v>
      </c>
      <c r="H69" s="117">
        <f t="shared" si="16"/>
        <v>-176.83882565766146</v>
      </c>
      <c r="I69" s="117">
        <f t="shared" si="6"/>
        <v>120.60072985384579</v>
      </c>
      <c r="J69" s="117">
        <f t="shared" si="7"/>
        <v>80.600729853845792</v>
      </c>
      <c r="K69" s="103">
        <f t="shared" si="8"/>
        <v>312.07886789308361</v>
      </c>
      <c r="L69" s="103">
        <f t="shared" si="9"/>
        <v>49.668894459706848</v>
      </c>
      <c r="M69" s="144">
        <f t="shared" si="10"/>
        <v>0.33110554029315153</v>
      </c>
      <c r="N69" s="205">
        <f t="shared" si="11"/>
        <v>0</v>
      </c>
      <c r="O69" s="205">
        <f t="shared" si="12"/>
        <v>6.6221108058630304E-3</v>
      </c>
      <c r="P69" s="203"/>
      <c r="Q69" s="203"/>
    </row>
    <row r="70" spans="1:17">
      <c r="A70" s="117">
        <v>55</v>
      </c>
      <c r="B70" s="202">
        <f t="shared" si="15"/>
        <v>601.98663324175891</v>
      </c>
      <c r="C70" s="202">
        <f t="shared" si="2"/>
        <v>401.98663324175891</v>
      </c>
      <c r="D70" s="103">
        <v>0</v>
      </c>
      <c r="E70" s="117">
        <f t="shared" si="3"/>
        <v>120532928.78534777</v>
      </c>
      <c r="F70" s="117">
        <f t="shared" si="4"/>
        <v>80532928.78534779</v>
      </c>
      <c r="G70" s="117">
        <f t="shared" si="5"/>
        <v>177.78125066326214</v>
      </c>
      <c r="H70" s="117">
        <f t="shared" si="16"/>
        <v>-176.83882565766146</v>
      </c>
      <c r="I70" s="117">
        <f t="shared" si="6"/>
        <v>120.53292878534778</v>
      </c>
      <c r="J70" s="117">
        <f t="shared" si="7"/>
        <v>80.532928785347792</v>
      </c>
      <c r="K70" s="103">
        <f t="shared" si="8"/>
        <v>313.02129289868429</v>
      </c>
      <c r="L70" s="103">
        <f t="shared" si="9"/>
        <v>49.818886057841603</v>
      </c>
      <c r="M70" s="144">
        <f t="shared" si="10"/>
        <v>0.18111394215839738</v>
      </c>
      <c r="N70" s="205">
        <f t="shared" si="11"/>
        <v>0</v>
      </c>
      <c r="O70" s="205">
        <f t="shared" si="12"/>
        <v>3.6222788431679474E-3</v>
      </c>
      <c r="P70" s="203"/>
      <c r="Q70" s="203"/>
    </row>
    <row r="71" spans="1:17">
      <c r="A71" s="117">
        <v>56</v>
      </c>
      <c r="B71" s="202">
        <f t="shared" si="15"/>
        <v>601.08668365295034</v>
      </c>
      <c r="C71" s="202">
        <f t="shared" si="2"/>
        <v>401.0866836529504</v>
      </c>
      <c r="D71" s="103">
        <v>0</v>
      </c>
      <c r="E71" s="117">
        <f t="shared" si="3"/>
        <v>120427731.43376186</v>
      </c>
      <c r="F71" s="117">
        <f t="shared" si="4"/>
        <v>80427731.43376188</v>
      </c>
      <c r="G71" s="117">
        <f t="shared" si="5"/>
        <v>177.59522090209464</v>
      </c>
      <c r="H71" s="117">
        <f t="shared" si="16"/>
        <v>-176.83882565766146</v>
      </c>
      <c r="I71" s="117">
        <f t="shared" si="6"/>
        <v>120.42773143376186</v>
      </c>
      <c r="J71" s="117">
        <f t="shared" si="7"/>
        <v>80.427731433761878</v>
      </c>
      <c r="K71" s="103">
        <f t="shared" si="8"/>
        <v>313.77768814311747</v>
      </c>
      <c r="L71" s="103">
        <f t="shared" si="9"/>
        <v>49.939270099924343</v>
      </c>
      <c r="M71" s="144">
        <f t="shared" si="10"/>
        <v>6.0729900075656928E-2</v>
      </c>
      <c r="N71" s="205">
        <f t="shared" si="11"/>
        <v>0</v>
      </c>
      <c r="O71" s="205">
        <f t="shared" si="12"/>
        <v>1.2145980015131385E-3</v>
      </c>
      <c r="P71" s="203"/>
      <c r="Q71" s="203"/>
    </row>
    <row r="72" spans="1:17">
      <c r="A72" s="117">
        <v>57</v>
      </c>
      <c r="B72" s="202">
        <f t="shared" si="15"/>
        <v>600.36437940045391</v>
      </c>
      <c r="C72" s="202">
        <f t="shared" si="2"/>
        <v>400.36437940045391</v>
      </c>
      <c r="D72" s="103">
        <v>0</v>
      </c>
      <c r="E72" s="117">
        <f t="shared" si="3"/>
        <v>120309446.24920483</v>
      </c>
      <c r="F72" s="117">
        <f t="shared" si="4"/>
        <v>80309446.249204844</v>
      </c>
      <c r="G72" s="117">
        <f t="shared" si="5"/>
        <v>177.38604677079701</v>
      </c>
      <c r="H72" s="117">
        <f t="shared" si="16"/>
        <v>-176.83882565766146</v>
      </c>
      <c r="I72" s="117">
        <f t="shared" si="6"/>
        <v>120.30944624920483</v>
      </c>
      <c r="J72" s="117">
        <f t="shared" si="7"/>
        <v>80.309446249204839</v>
      </c>
      <c r="K72" s="103">
        <f t="shared" si="8"/>
        <v>314.32490925625302</v>
      </c>
      <c r="L72" s="103">
        <f t="shared" si="9"/>
        <v>50.026363045044114</v>
      </c>
      <c r="M72" s="144">
        <f t="shared" si="10"/>
        <v>-2.6363045044114131E-2</v>
      </c>
      <c r="N72" s="205">
        <f t="shared" si="11"/>
        <v>0</v>
      </c>
      <c r="O72" s="205">
        <f t="shared" si="12"/>
        <v>-5.2726090088228261E-4</v>
      </c>
      <c r="P72" s="203"/>
      <c r="Q72" s="203"/>
    </row>
    <row r="73" spans="1:17">
      <c r="A73" s="117">
        <v>58</v>
      </c>
      <c r="B73" s="202">
        <f t="shared" si="15"/>
        <v>599.84182172973533</v>
      </c>
      <c r="C73" s="202">
        <f t="shared" si="2"/>
        <v>399.84182172973533</v>
      </c>
      <c r="D73" s="103">
        <v>0</v>
      </c>
      <c r="E73" s="117">
        <f t="shared" si="3"/>
        <v>120195752.28145224</v>
      </c>
      <c r="F73" s="117">
        <f t="shared" si="4"/>
        <v>80195752.281452253</v>
      </c>
      <c r="G73" s="117">
        <f t="shared" si="5"/>
        <v>177.18499169337969</v>
      </c>
      <c r="H73" s="117">
        <f t="shared" si="16"/>
        <v>-176.83882565766146</v>
      </c>
      <c r="I73" s="117">
        <f t="shared" si="6"/>
        <v>120.19575228145224</v>
      </c>
      <c r="J73" s="117">
        <f t="shared" si="7"/>
        <v>80.195752281452258</v>
      </c>
      <c r="K73" s="103">
        <f t="shared" si="8"/>
        <v>314.67107529197125</v>
      </c>
      <c r="L73" s="103">
        <f t="shared" si="9"/>
        <v>50.081457080759201</v>
      </c>
      <c r="M73" s="144">
        <f t="shared" si="10"/>
        <v>-8.1457080759200551E-2</v>
      </c>
      <c r="N73" s="205">
        <f t="shared" si="11"/>
        <v>0</v>
      </c>
      <c r="O73" s="205">
        <f t="shared" si="12"/>
        <v>-1.6291416151840111E-3</v>
      </c>
      <c r="P73" s="203"/>
      <c r="Q73" s="203"/>
    </row>
    <row r="74" spans="1:17">
      <c r="A74" s="117">
        <v>59</v>
      </c>
      <c r="B74" s="202">
        <f t="shared" si="15"/>
        <v>599.51125751544475</v>
      </c>
      <c r="C74" s="202">
        <f t="shared" si="2"/>
        <v>399.51125751544481</v>
      </c>
      <c r="D74" s="103">
        <v>0</v>
      </c>
      <c r="E74" s="117">
        <f t="shared" si="3"/>
        <v>120097918.68866447</v>
      </c>
      <c r="F74" s="117">
        <f t="shared" si="4"/>
        <v>80097918.688664496</v>
      </c>
      <c r="G74" s="117">
        <f t="shared" si="5"/>
        <v>177.01198391679512</v>
      </c>
      <c r="H74" s="117">
        <f t="shared" si="16"/>
        <v>-176.83882565766146</v>
      </c>
      <c r="I74" s="117">
        <f t="shared" si="6"/>
        <v>120.09791868866446</v>
      </c>
      <c r="J74" s="117">
        <f t="shared" si="7"/>
        <v>80.097918688664492</v>
      </c>
      <c r="K74" s="103">
        <f t="shared" si="8"/>
        <v>314.84423355110494</v>
      </c>
      <c r="L74" s="103">
        <f t="shared" si="9"/>
        <v>50.109016073637513</v>
      </c>
      <c r="M74" s="144">
        <f t="shared" si="10"/>
        <v>-0.10901607363751253</v>
      </c>
      <c r="N74" s="205">
        <f t="shared" si="11"/>
        <v>0</v>
      </c>
      <c r="O74" s="205">
        <f t="shared" si="12"/>
        <v>-2.1803214727502507E-3</v>
      </c>
      <c r="P74" s="203"/>
      <c r="Q74" s="203"/>
    </row>
    <row r="75" spans="1:17">
      <c r="A75" s="117">
        <v>60</v>
      </c>
      <c r="B75" s="202">
        <f t="shared" si="15"/>
        <v>599.34590355817488</v>
      </c>
      <c r="C75" s="202">
        <f t="shared" si="2"/>
        <v>399.34590355817494</v>
      </c>
      <c r="D75" s="103">
        <v>0</v>
      </c>
      <c r="E75" s="117">
        <f t="shared" si="3"/>
        <v>120021672.69632131</v>
      </c>
      <c r="F75" s="117">
        <f t="shared" si="4"/>
        <v>80021672.696321324</v>
      </c>
      <c r="G75" s="117">
        <f t="shared" si="5"/>
        <v>176.87715139932442</v>
      </c>
      <c r="H75" s="117">
        <f t="shared" si="16"/>
        <v>-176.83882565766146</v>
      </c>
      <c r="I75" s="117">
        <f t="shared" si="6"/>
        <v>120.0216726963213</v>
      </c>
      <c r="J75" s="117">
        <f t="shared" si="7"/>
        <v>80.021672696321318</v>
      </c>
      <c r="K75" s="103">
        <f t="shared" si="8"/>
        <v>314.88255929276789</v>
      </c>
      <c r="L75" s="103">
        <f t="shared" si="9"/>
        <v>50.115115804870833</v>
      </c>
      <c r="M75" s="144">
        <f t="shared" si="10"/>
        <v>-0.11511580487083251</v>
      </c>
      <c r="N75" s="205">
        <f t="shared" si="11"/>
        <v>0</v>
      </c>
      <c r="O75" s="205">
        <f t="shared" si="12"/>
        <v>-2.3023160974166503E-3</v>
      </c>
      <c r="P75" s="203"/>
      <c r="Q75" s="203"/>
    </row>
    <row r="76" spans="1:17">
      <c r="A76" s="117">
        <v>61</v>
      </c>
      <c r="B76" s="202">
        <f t="shared" si="15"/>
        <v>599.30930517077502</v>
      </c>
      <c r="C76" s="202">
        <f t="shared" si="2"/>
        <v>399.30930517077502</v>
      </c>
      <c r="D76" s="103">
        <v>0</v>
      </c>
      <c r="E76" s="117">
        <f t="shared" si="3"/>
        <v>119968402.14226587</v>
      </c>
      <c r="F76" s="117">
        <f t="shared" si="4"/>
        <v>79968402.142265886</v>
      </c>
      <c r="G76" s="117">
        <f t="shared" si="5"/>
        <v>176.7829483771115</v>
      </c>
      <c r="H76" s="117">
        <f t="shared" si="16"/>
        <v>-176.83882565766146</v>
      </c>
      <c r="I76" s="117">
        <f t="shared" si="6"/>
        <v>119.96840214226587</v>
      </c>
      <c r="J76" s="117">
        <f t="shared" si="7"/>
        <v>79.968402142265887</v>
      </c>
      <c r="K76" s="103">
        <f t="shared" si="8"/>
        <v>314.82668201221793</v>
      </c>
      <c r="L76" s="103">
        <f t="shared" si="9"/>
        <v>50.106222659464777</v>
      </c>
      <c r="M76" s="144">
        <f t="shared" si="10"/>
        <v>-0.10622265946477683</v>
      </c>
      <c r="N76" s="205">
        <f t="shared" si="11"/>
        <v>0</v>
      </c>
      <c r="O76" s="205">
        <f t="shared" si="12"/>
        <v>-2.1244531892955364E-3</v>
      </c>
      <c r="P76" s="203"/>
      <c r="Q76" s="203"/>
    </row>
    <row r="77" spans="1:17">
      <c r="A77" s="117">
        <v>62</v>
      </c>
      <c r="B77" s="202">
        <f t="shared" si="15"/>
        <v>599.36266404321134</v>
      </c>
      <c r="C77" s="202">
        <f t="shared" si="2"/>
        <v>399.36266404321134</v>
      </c>
      <c r="D77" s="103">
        <v>0</v>
      </c>
      <c r="E77" s="117">
        <f t="shared" si="3"/>
        <v>119936445.69772466</v>
      </c>
      <c r="F77" s="117">
        <f t="shared" si="4"/>
        <v>79936445.69772467</v>
      </c>
      <c r="G77" s="117">
        <f t="shared" si="5"/>
        <v>176.72643697586287</v>
      </c>
      <c r="H77" s="117">
        <f t="shared" si="16"/>
        <v>-176.83882565766146</v>
      </c>
      <c r="I77" s="117">
        <f t="shared" si="6"/>
        <v>119.93644569772465</v>
      </c>
      <c r="J77" s="117">
        <f t="shared" si="7"/>
        <v>79.936445697724665</v>
      </c>
      <c r="K77" s="103">
        <f t="shared" si="8"/>
        <v>314.71429333041931</v>
      </c>
      <c r="L77" s="103">
        <f t="shared" si="9"/>
        <v>50.088335445208941</v>
      </c>
      <c r="M77" s="144">
        <f t="shared" si="10"/>
        <v>-8.8335445208940655E-2</v>
      </c>
      <c r="N77" s="205">
        <f t="shared" si="11"/>
        <v>0</v>
      </c>
      <c r="O77" s="205">
        <f t="shared" si="12"/>
        <v>-1.7667089041788131E-3</v>
      </c>
      <c r="P77" s="203"/>
      <c r="Q77" s="203"/>
    </row>
    <row r="78" spans="1:17">
      <c r="A78" s="117">
        <v>63</v>
      </c>
      <c r="B78" s="202">
        <f t="shared" si="15"/>
        <v>599.46998732874636</v>
      </c>
      <c r="C78" s="202">
        <f t="shared" si="2"/>
        <v>399.46998732874636</v>
      </c>
      <c r="D78" s="103">
        <v>0</v>
      </c>
      <c r="E78" s="117">
        <f t="shared" si="3"/>
        <v>119922296.28706618</v>
      </c>
      <c r="F78" s="117">
        <f t="shared" si="4"/>
        <v>79922296.287066191</v>
      </c>
      <c r="G78" s="117">
        <f t="shared" si="5"/>
        <v>176.70141532421692</v>
      </c>
      <c r="H78" s="117">
        <f t="shared" si="16"/>
        <v>-176.83882565766146</v>
      </c>
      <c r="I78" s="117">
        <f t="shared" si="6"/>
        <v>119.92229628706617</v>
      </c>
      <c r="J78" s="117">
        <f t="shared" si="7"/>
        <v>79.922296287066189</v>
      </c>
      <c r="K78" s="103">
        <f t="shared" si="8"/>
        <v>314.57688299697475</v>
      </c>
      <c r="L78" s="103">
        <f t="shared" si="9"/>
        <v>50.066465911409338</v>
      </c>
      <c r="M78" s="144">
        <f t="shared" si="10"/>
        <v>-6.6465911409338219E-2</v>
      </c>
      <c r="N78" s="205">
        <f t="shared" si="11"/>
        <v>0</v>
      </c>
      <c r="O78" s="205">
        <f t="shared" si="12"/>
        <v>-1.3293182281867643E-3</v>
      </c>
      <c r="P78" s="203"/>
      <c r="Q78" s="203"/>
    </row>
    <row r="79" spans="1:17">
      <c r="A79" s="117">
        <v>64</v>
      </c>
      <c r="B79" s="202">
        <f t="shared" ref="B79:B99" si="17">$B$7+$Q$2*M78</f>
        <v>599.601204531544</v>
      </c>
      <c r="C79" s="202">
        <f t="shared" si="2"/>
        <v>399.601204531544</v>
      </c>
      <c r="D79" s="103">
        <v>0</v>
      </c>
      <c r="E79" s="117">
        <f t="shared" si="3"/>
        <v>119921611.16014704</v>
      </c>
      <c r="F79" s="117">
        <f t="shared" si="4"/>
        <v>79921611.160147056</v>
      </c>
      <c r="G79" s="117">
        <f t="shared" si="5"/>
        <v>176.70020375381884</v>
      </c>
      <c r="H79" s="117">
        <f t="shared" ref="H79:H99" si="18">- $M$11-D79*$M$10</f>
        <v>-176.83882565766146</v>
      </c>
      <c r="I79" s="117">
        <f t="shared" si="6"/>
        <v>119.92161116014704</v>
      </c>
      <c r="J79" s="117">
        <f t="shared" si="7"/>
        <v>79.921611160147052</v>
      </c>
      <c r="K79" s="103">
        <f t="shared" si="8"/>
        <v>314.43826109313216</v>
      </c>
      <c r="L79" s="103">
        <f t="shared" si="9"/>
        <v>50.04440355019198</v>
      </c>
      <c r="M79" s="144">
        <f t="shared" si="10"/>
        <v>-4.4403550191979946E-2</v>
      </c>
      <c r="N79" s="205">
        <f t="shared" si="11"/>
        <v>0</v>
      </c>
      <c r="O79" s="205">
        <f t="shared" si="12"/>
        <v>-8.8807100383959893E-4</v>
      </c>
      <c r="P79" s="203"/>
      <c r="Q79" s="203"/>
    </row>
    <row r="80" spans="1:17">
      <c r="A80" s="117">
        <v>65</v>
      </c>
      <c r="B80" s="202">
        <f t="shared" si="17"/>
        <v>599.73357869884808</v>
      </c>
      <c r="C80" s="202">
        <f t="shared" ref="C80:C99" si="19">$E$7+$Q$3*M79</f>
        <v>399.73357869884813</v>
      </c>
      <c r="D80" s="103">
        <v>0</v>
      </c>
      <c r="E80" s="117">
        <f t="shared" ref="E80:E99" si="20">$M$5*($M$6*B80+E79)</f>
        <v>119929979.35335457</v>
      </c>
      <c r="F80" s="117">
        <f t="shared" ref="F80:F99" si="21">$M$7*($M$8*C80+F79)</f>
        <v>79929979.353354573</v>
      </c>
      <c r="G80" s="117">
        <f t="shared" ref="G80:G99" si="22">$M$10*(F80+E80)</f>
        <v>176.71500196841581</v>
      </c>
      <c r="H80" s="117">
        <f t="shared" si="18"/>
        <v>-176.83882565766146</v>
      </c>
      <c r="I80" s="117">
        <f t="shared" ref="I80:I99" si="23">E80/1000000</f>
        <v>119.92997935335457</v>
      </c>
      <c r="J80" s="117">
        <f t="shared" ref="J80:J99" si="24">F80/1000000</f>
        <v>79.929979353354568</v>
      </c>
      <c r="K80" s="103">
        <f t="shared" ref="K80:K99" si="25">$M$10*(E80+F80) - $M$11 +K79 - D80*$B$10/(2*PI()*$B$4*$H$6)</f>
        <v>314.31443740388647</v>
      </c>
      <c r="L80" s="103">
        <f t="shared" ref="L80:L99" si="26">K80/(2*PI())</f>
        <v>50.024696397976655</v>
      </c>
      <c r="M80" s="144">
        <f t="shared" ref="M80:M99" si="27">$B$4-L80</f>
        <v>-2.4696397976654794E-2</v>
      </c>
      <c r="N80" s="205">
        <f t="shared" ref="N80:N99" si="28">D80/(($B$3+$E$3)*1000000)</f>
        <v>0</v>
      </c>
      <c r="O80" s="205">
        <f t="shared" ref="O80:O99" si="29">M80/$B$4</f>
        <v>-4.939279595330959E-4</v>
      </c>
      <c r="P80" s="203"/>
      <c r="Q80" s="203"/>
    </row>
    <row r="81" spans="1:17">
      <c r="A81" s="117">
        <v>66</v>
      </c>
      <c r="B81" s="202">
        <f t="shared" si="17"/>
        <v>599.85182161214004</v>
      </c>
      <c r="C81" s="202">
        <f t="shared" si="19"/>
        <v>399.85182161214004</v>
      </c>
      <c r="D81" s="103">
        <v>0</v>
      </c>
      <c r="E81" s="117">
        <f t="shared" si="20"/>
        <v>119943441.00971237</v>
      </c>
      <c r="F81" s="117">
        <f t="shared" si="21"/>
        <v>79943441.009712368</v>
      </c>
      <c r="G81" s="117">
        <f t="shared" si="22"/>
        <v>176.73880740343299</v>
      </c>
      <c r="H81" s="117">
        <f t="shared" si="18"/>
        <v>-176.83882565766146</v>
      </c>
      <c r="I81" s="117">
        <f t="shared" si="23"/>
        <v>119.94344100971237</v>
      </c>
      <c r="J81" s="117">
        <f t="shared" si="24"/>
        <v>79.943441009712373</v>
      </c>
      <c r="K81" s="103">
        <f t="shared" si="25"/>
        <v>314.214419149658</v>
      </c>
      <c r="L81" s="103">
        <f t="shared" si="26"/>
        <v>50.008777998416768</v>
      </c>
      <c r="M81" s="144">
        <f t="shared" si="27"/>
        <v>-8.7779984167681846E-3</v>
      </c>
      <c r="N81" s="205">
        <f t="shared" si="28"/>
        <v>0</v>
      </c>
      <c r="O81" s="205">
        <f t="shared" si="29"/>
        <v>-1.7555996833536368E-4</v>
      </c>
      <c r="P81" s="203"/>
      <c r="Q81" s="203"/>
    </row>
    <row r="82" spans="1:17">
      <c r="A82" s="117">
        <v>67</v>
      </c>
      <c r="B82" s="202">
        <f t="shared" si="17"/>
        <v>599.94733200949941</v>
      </c>
      <c r="C82" s="202">
        <f t="shared" si="19"/>
        <v>399.94733200949941</v>
      </c>
      <c r="D82" s="103">
        <v>0</v>
      </c>
      <c r="E82" s="117">
        <f t="shared" si="20"/>
        <v>119958782.80710819</v>
      </c>
      <c r="F82" s="117">
        <f t="shared" si="21"/>
        <v>79958782.807108194</v>
      </c>
      <c r="G82" s="117">
        <f t="shared" si="22"/>
        <v>176.76593765778256</v>
      </c>
      <c r="H82" s="117">
        <f t="shared" si="18"/>
        <v>-176.83882565766146</v>
      </c>
      <c r="I82" s="117">
        <f t="shared" si="23"/>
        <v>119.95878280710819</v>
      </c>
      <c r="J82" s="117">
        <f t="shared" si="24"/>
        <v>79.958782807108193</v>
      </c>
      <c r="K82" s="103">
        <f t="shared" si="25"/>
        <v>314.1415311497791</v>
      </c>
      <c r="L82" s="103">
        <f t="shared" si="26"/>
        <v>49.997177512943964</v>
      </c>
      <c r="M82" s="144">
        <f t="shared" si="27"/>
        <v>2.8224870560364934E-3</v>
      </c>
      <c r="N82" s="205">
        <f t="shared" si="28"/>
        <v>0</v>
      </c>
      <c r="O82" s="205">
        <f t="shared" si="29"/>
        <v>5.6449741120729871E-5</v>
      </c>
      <c r="P82" s="203"/>
      <c r="Q82" s="203"/>
    </row>
    <row r="83" spans="1:17">
      <c r="A83" s="117">
        <v>68</v>
      </c>
      <c r="B83" s="202">
        <f t="shared" si="17"/>
        <v>600.01693492233619</v>
      </c>
      <c r="C83" s="202">
        <f t="shared" si="19"/>
        <v>400.01693492233619</v>
      </c>
      <c r="D83" s="103">
        <v>0</v>
      </c>
      <c r="E83" s="117">
        <f t="shared" si="20"/>
        <v>119973650.86622787</v>
      </c>
      <c r="F83" s="117">
        <f t="shared" si="21"/>
        <v>79973650.866227865</v>
      </c>
      <c r="G83" s="117">
        <f t="shared" si="22"/>
        <v>176.79223015892788</v>
      </c>
      <c r="H83" s="117">
        <f t="shared" si="18"/>
        <v>-176.83882565766146</v>
      </c>
      <c r="I83" s="117">
        <f t="shared" si="23"/>
        <v>119.97365086622787</v>
      </c>
      <c r="J83" s="117">
        <f t="shared" si="24"/>
        <v>79.973650866227871</v>
      </c>
      <c r="K83" s="103">
        <f t="shared" si="25"/>
        <v>314.09493565104549</v>
      </c>
      <c r="L83" s="103">
        <f t="shared" si="26"/>
        <v>49.989761608994677</v>
      </c>
      <c r="M83" s="144">
        <f t="shared" si="27"/>
        <v>1.0238391005323422E-2</v>
      </c>
      <c r="N83" s="205">
        <f t="shared" si="28"/>
        <v>0</v>
      </c>
      <c r="O83" s="205">
        <f t="shared" si="29"/>
        <v>2.0476782010646843E-4</v>
      </c>
      <c r="P83" s="203"/>
      <c r="Q83" s="203"/>
    </row>
    <row r="84" spans="1:17">
      <c r="A84" s="117">
        <v>69</v>
      </c>
      <c r="B84" s="202">
        <f t="shared" si="17"/>
        <v>600.0614303460319</v>
      </c>
      <c r="C84" s="202">
        <f t="shared" si="19"/>
        <v>400.06143034603195</v>
      </c>
      <c r="D84" s="103">
        <v>0</v>
      </c>
      <c r="E84" s="117">
        <f t="shared" si="20"/>
        <v>119986529.26722069</v>
      </c>
      <c r="F84" s="117">
        <f t="shared" si="21"/>
        <v>79986529.267220706</v>
      </c>
      <c r="G84" s="117">
        <f t="shared" si="22"/>
        <v>176.81500417200709</v>
      </c>
      <c r="H84" s="117">
        <f t="shared" si="18"/>
        <v>-176.83882565766146</v>
      </c>
      <c r="I84" s="117">
        <f t="shared" si="23"/>
        <v>119.98652926722069</v>
      </c>
      <c r="J84" s="117">
        <f t="shared" si="24"/>
        <v>79.986529267220703</v>
      </c>
      <c r="K84" s="103">
        <f t="shared" si="25"/>
        <v>314.07111416539112</v>
      </c>
      <c r="L84" s="103">
        <f t="shared" si="26"/>
        <v>49.98597030180099</v>
      </c>
      <c r="M84" s="144">
        <f t="shared" si="27"/>
        <v>1.4029698199010454E-2</v>
      </c>
      <c r="N84" s="205">
        <f t="shared" si="28"/>
        <v>0</v>
      </c>
      <c r="O84" s="205">
        <f t="shared" si="29"/>
        <v>2.8059396398020907E-4</v>
      </c>
      <c r="P84" s="203"/>
      <c r="Q84" s="203"/>
    </row>
    <row r="85" spans="1:17">
      <c r="A85" s="117">
        <v>70</v>
      </c>
      <c r="B85" s="202">
        <f t="shared" si="17"/>
        <v>600.08417818919406</v>
      </c>
      <c r="C85" s="202">
        <f t="shared" si="19"/>
        <v>400.08417818919406</v>
      </c>
      <c r="D85" s="103">
        <v>0</v>
      </c>
      <c r="E85" s="117">
        <f t="shared" si="20"/>
        <v>119996631.39076006</v>
      </c>
      <c r="F85" s="117">
        <f t="shared" si="21"/>
        <v>79996631.390760064</v>
      </c>
      <c r="G85" s="117">
        <f t="shared" si="22"/>
        <v>176.83286864864058</v>
      </c>
      <c r="H85" s="117">
        <f t="shared" si="18"/>
        <v>-176.83882565766146</v>
      </c>
      <c r="I85" s="117">
        <f t="shared" si="23"/>
        <v>119.99663139076006</v>
      </c>
      <c r="J85" s="117">
        <f t="shared" si="24"/>
        <v>79.996631390760058</v>
      </c>
      <c r="K85" s="103">
        <f t="shared" si="25"/>
        <v>314.06515715637022</v>
      </c>
      <c r="L85" s="103">
        <f t="shared" si="26"/>
        <v>49.985022214369266</v>
      </c>
      <c r="M85" s="144">
        <f t="shared" si="27"/>
        <v>1.497778563073382E-2</v>
      </c>
      <c r="N85" s="205">
        <f t="shared" si="28"/>
        <v>0</v>
      </c>
      <c r="O85" s="205">
        <f t="shared" si="29"/>
        <v>2.9955571261467638E-4</v>
      </c>
      <c r="P85" s="203"/>
      <c r="Q85" s="203"/>
    </row>
    <row r="86" spans="1:17">
      <c r="A86" s="117">
        <v>71</v>
      </c>
      <c r="B86" s="202">
        <f t="shared" si="17"/>
        <v>600.08986671378443</v>
      </c>
      <c r="C86" s="202">
        <f t="shared" si="19"/>
        <v>400.08986671378443</v>
      </c>
      <c r="D86" s="103">
        <v>0</v>
      </c>
      <c r="E86" s="117">
        <f t="shared" si="20"/>
        <v>120003745.37475899</v>
      </c>
      <c r="F86" s="117">
        <f t="shared" si="21"/>
        <v>80003745.374758989</v>
      </c>
      <c r="G86" s="117">
        <f t="shared" si="22"/>
        <v>176.84544893440176</v>
      </c>
      <c r="H86" s="117">
        <f t="shared" si="18"/>
        <v>-176.83882565766146</v>
      </c>
      <c r="I86" s="117">
        <f t="shared" si="23"/>
        <v>120.00374537475899</v>
      </c>
      <c r="J86" s="117">
        <f t="shared" si="24"/>
        <v>80.003745374758992</v>
      </c>
      <c r="K86" s="103">
        <f t="shared" si="25"/>
        <v>314.07178043311052</v>
      </c>
      <c r="L86" s="103">
        <f t="shared" si="26"/>
        <v>49.986076341601951</v>
      </c>
      <c r="M86" s="144">
        <f t="shared" si="27"/>
        <v>1.3923658398049099E-2</v>
      </c>
      <c r="N86" s="205">
        <f t="shared" si="28"/>
        <v>0</v>
      </c>
      <c r="O86" s="205">
        <f t="shared" si="29"/>
        <v>2.7847316796098198E-4</v>
      </c>
      <c r="P86" s="203"/>
      <c r="Q86" s="203"/>
    </row>
    <row r="87" spans="1:17">
      <c r="A87" s="117">
        <v>72</v>
      </c>
      <c r="B87" s="202">
        <f t="shared" si="17"/>
        <v>600.08354195038828</v>
      </c>
      <c r="C87" s="202">
        <f t="shared" si="19"/>
        <v>400.08354195038828</v>
      </c>
      <c r="D87" s="103">
        <v>0</v>
      </c>
      <c r="E87" s="117">
        <f t="shared" si="20"/>
        <v>120008066.3798652</v>
      </c>
      <c r="F87" s="117">
        <f t="shared" si="21"/>
        <v>80008066.379865199</v>
      </c>
      <c r="G87" s="117">
        <f t="shared" si="22"/>
        <v>176.85309014908819</v>
      </c>
      <c r="H87" s="117">
        <f t="shared" si="18"/>
        <v>-176.83882565766146</v>
      </c>
      <c r="I87" s="117">
        <f t="shared" si="23"/>
        <v>120.0080663798652</v>
      </c>
      <c r="J87" s="117">
        <f t="shared" si="24"/>
        <v>80.008066379865198</v>
      </c>
      <c r="K87" s="103">
        <f t="shared" si="25"/>
        <v>314.08604492453725</v>
      </c>
      <c r="L87" s="103">
        <f t="shared" si="26"/>
        <v>49.988346605923212</v>
      </c>
      <c r="M87" s="144">
        <f t="shared" si="27"/>
        <v>1.1653394076788004E-2</v>
      </c>
      <c r="N87" s="205">
        <f t="shared" si="28"/>
        <v>0</v>
      </c>
      <c r="O87" s="205">
        <f t="shared" si="29"/>
        <v>2.3306788153576008E-4</v>
      </c>
      <c r="P87" s="203"/>
      <c r="Q87" s="203"/>
    </row>
    <row r="88" spans="1:17">
      <c r="A88" s="117">
        <v>73</v>
      </c>
      <c r="B88" s="202">
        <f t="shared" si="17"/>
        <v>600.0699203644607</v>
      </c>
      <c r="C88" s="202">
        <f t="shared" si="19"/>
        <v>400.0699203644607</v>
      </c>
      <c r="D88" s="103">
        <v>0</v>
      </c>
      <c r="E88" s="117">
        <f t="shared" si="20"/>
        <v>120010038.9442075</v>
      </c>
      <c r="F88" s="117">
        <f t="shared" si="21"/>
        <v>80010038.944207504</v>
      </c>
      <c r="G88" s="117">
        <f t="shared" si="22"/>
        <v>176.85657840870647</v>
      </c>
      <c r="H88" s="117">
        <f t="shared" si="18"/>
        <v>-176.83882565766146</v>
      </c>
      <c r="I88" s="117">
        <f t="shared" si="23"/>
        <v>120.01003894420751</v>
      </c>
      <c r="J88" s="117">
        <f t="shared" si="24"/>
        <v>80.010038944207508</v>
      </c>
      <c r="K88" s="103">
        <f t="shared" si="25"/>
        <v>314.10379767558226</v>
      </c>
      <c r="L88" s="103">
        <f t="shared" si="26"/>
        <v>49.991172044005502</v>
      </c>
      <c r="M88" s="144">
        <f t="shared" si="27"/>
        <v>8.8279559944979269E-3</v>
      </c>
      <c r="N88" s="205">
        <f t="shared" si="28"/>
        <v>0</v>
      </c>
      <c r="O88" s="205">
        <f t="shared" si="29"/>
        <v>1.7655911988995854E-4</v>
      </c>
      <c r="P88" s="203"/>
      <c r="Q88" s="203"/>
    </row>
    <row r="89" spans="1:17">
      <c r="A89" s="117">
        <v>74</v>
      </c>
      <c r="B89" s="202">
        <f t="shared" si="17"/>
        <v>600.05296773596694</v>
      </c>
      <c r="C89" s="202">
        <f t="shared" si="19"/>
        <v>400.052967735967</v>
      </c>
      <c r="D89" s="103">
        <v>0</v>
      </c>
      <c r="E89" s="117">
        <f t="shared" si="20"/>
        <v>120010223.81186946</v>
      </c>
      <c r="F89" s="117">
        <f t="shared" si="21"/>
        <v>80010223.811869457</v>
      </c>
      <c r="G89" s="117">
        <f t="shared" si="22"/>
        <v>176.85690532650887</v>
      </c>
      <c r="H89" s="117">
        <f t="shared" si="18"/>
        <v>-176.83882565766146</v>
      </c>
      <c r="I89" s="117">
        <f t="shared" si="23"/>
        <v>120.01022381186945</v>
      </c>
      <c r="J89" s="117">
        <f t="shared" si="24"/>
        <v>80.010223811869452</v>
      </c>
      <c r="K89" s="103">
        <f t="shared" si="25"/>
        <v>314.12187734442966</v>
      </c>
      <c r="L89" s="103">
        <f t="shared" si="26"/>
        <v>49.994049512672035</v>
      </c>
      <c r="M89" s="144">
        <f t="shared" si="27"/>
        <v>5.9504873279649928E-3</v>
      </c>
      <c r="N89" s="205">
        <f t="shared" si="28"/>
        <v>0</v>
      </c>
      <c r="O89" s="205">
        <f t="shared" si="29"/>
        <v>1.1900974655929985E-4</v>
      </c>
      <c r="P89" s="203"/>
      <c r="Q89" s="203"/>
    </row>
    <row r="90" spans="1:17">
      <c r="A90" s="117">
        <v>75</v>
      </c>
      <c r="B90" s="202">
        <f t="shared" si="17"/>
        <v>600.03570292396785</v>
      </c>
      <c r="C90" s="202">
        <f t="shared" si="19"/>
        <v>400.03570292396779</v>
      </c>
      <c r="D90" s="103">
        <v>0</v>
      </c>
      <c r="E90" s="117">
        <f t="shared" si="20"/>
        <v>120009196.06951082</v>
      </c>
      <c r="F90" s="117">
        <f t="shared" si="21"/>
        <v>80009196.069510818</v>
      </c>
      <c r="G90" s="117">
        <f t="shared" si="22"/>
        <v>176.85508787899107</v>
      </c>
      <c r="H90" s="117">
        <f t="shared" si="18"/>
        <v>-176.83882565766146</v>
      </c>
      <c r="I90" s="117">
        <f t="shared" si="23"/>
        <v>120.00919606951082</v>
      </c>
      <c r="J90" s="117">
        <f t="shared" si="24"/>
        <v>80.009196069510821</v>
      </c>
      <c r="K90" s="103">
        <f t="shared" si="25"/>
        <v>314.13813956575927</v>
      </c>
      <c r="L90" s="103">
        <f t="shared" si="26"/>
        <v>49.996637725582296</v>
      </c>
      <c r="M90" s="144">
        <f t="shared" si="27"/>
        <v>3.3622744177037589E-3</v>
      </c>
      <c r="N90" s="205">
        <f t="shared" si="28"/>
        <v>0</v>
      </c>
      <c r="O90" s="205">
        <f t="shared" si="29"/>
        <v>6.724548835407518E-5</v>
      </c>
      <c r="P90" s="203"/>
      <c r="Q90" s="203"/>
    </row>
    <row r="91" spans="1:17">
      <c r="A91" s="117">
        <v>76</v>
      </c>
      <c r="B91" s="202">
        <f t="shared" si="17"/>
        <v>600.02017364650624</v>
      </c>
      <c r="C91" s="202">
        <f t="shared" si="19"/>
        <v>400.02017364650624</v>
      </c>
      <c r="D91" s="103">
        <v>0</v>
      </c>
      <c r="E91" s="117">
        <f t="shared" si="20"/>
        <v>120007475.62277427</v>
      </c>
      <c r="F91" s="117">
        <f t="shared" si="21"/>
        <v>80007475.622774288</v>
      </c>
      <c r="G91" s="117">
        <f t="shared" si="22"/>
        <v>176.85204546118609</v>
      </c>
      <c r="H91" s="117">
        <f t="shared" si="18"/>
        <v>-176.83882565766146</v>
      </c>
      <c r="I91" s="117">
        <f t="shared" si="23"/>
        <v>120.00747562277428</v>
      </c>
      <c r="J91" s="117">
        <f t="shared" si="24"/>
        <v>80.007475622774294</v>
      </c>
      <c r="K91" s="103">
        <f t="shared" si="25"/>
        <v>314.15135936928391</v>
      </c>
      <c r="L91" s="103">
        <f t="shared" si="26"/>
        <v>49.998741722659943</v>
      </c>
      <c r="M91" s="144">
        <f t="shared" si="27"/>
        <v>1.2582773400566793E-3</v>
      </c>
      <c r="N91" s="205">
        <f t="shared" si="28"/>
        <v>0</v>
      </c>
      <c r="O91" s="205">
        <f t="shared" si="29"/>
        <v>2.5165546801133588E-5</v>
      </c>
      <c r="P91" s="203"/>
      <c r="Q91" s="203"/>
    </row>
    <row r="92" spans="1:17">
      <c r="A92" s="117">
        <v>77</v>
      </c>
      <c r="B92" s="202">
        <f t="shared" si="17"/>
        <v>600.00754966404031</v>
      </c>
      <c r="C92" s="202">
        <f t="shared" si="19"/>
        <v>400.00754966404031</v>
      </c>
      <c r="D92" s="103">
        <v>0</v>
      </c>
      <c r="E92" s="117">
        <f t="shared" si="20"/>
        <v>120005487.05945219</v>
      </c>
      <c r="F92" s="117">
        <f t="shared" si="21"/>
        <v>80005487.059452206</v>
      </c>
      <c r="G92" s="117">
        <f t="shared" si="22"/>
        <v>176.84852890915988</v>
      </c>
      <c r="H92" s="117">
        <f t="shared" si="18"/>
        <v>-176.83882565766146</v>
      </c>
      <c r="I92" s="117">
        <f t="shared" si="23"/>
        <v>120.00548705945219</v>
      </c>
      <c r="J92" s="117">
        <f t="shared" si="24"/>
        <v>80.005487059452207</v>
      </c>
      <c r="K92" s="103">
        <f t="shared" si="25"/>
        <v>314.16106262078233</v>
      </c>
      <c r="L92" s="103">
        <f t="shared" si="26"/>
        <v>50.000286043099983</v>
      </c>
      <c r="M92" s="144">
        <f t="shared" si="27"/>
        <v>-2.8604309998314648E-4</v>
      </c>
      <c r="N92" s="205">
        <f t="shared" si="28"/>
        <v>0</v>
      </c>
      <c r="O92" s="205">
        <f t="shared" si="29"/>
        <v>-5.7208619996629291E-6</v>
      </c>
      <c r="P92" s="203"/>
      <c r="Q92" s="203"/>
    </row>
    <row r="93" spans="1:17">
      <c r="A93" s="117">
        <v>78</v>
      </c>
      <c r="B93" s="202">
        <f t="shared" si="17"/>
        <v>599.99828374140009</v>
      </c>
      <c r="C93" s="202">
        <f t="shared" si="19"/>
        <v>399.99828374140009</v>
      </c>
      <c r="D93" s="103">
        <v>0</v>
      </c>
      <c r="E93" s="117">
        <f t="shared" si="20"/>
        <v>120003543.6223948</v>
      </c>
      <c r="F93" s="117">
        <f t="shared" si="21"/>
        <v>80003543.6223948</v>
      </c>
      <c r="G93" s="117">
        <f t="shared" si="22"/>
        <v>176.84509215789018</v>
      </c>
      <c r="H93" s="117">
        <f t="shared" si="18"/>
        <v>-176.83882565766146</v>
      </c>
      <c r="I93" s="117">
        <f t="shared" si="23"/>
        <v>120.0035436223948</v>
      </c>
      <c r="J93" s="117">
        <f t="shared" si="24"/>
        <v>80.003543622394801</v>
      </c>
      <c r="K93" s="103">
        <f t="shared" si="25"/>
        <v>314.16732912101105</v>
      </c>
      <c r="L93" s="103">
        <f t="shared" si="26"/>
        <v>50.001283387587272</v>
      </c>
      <c r="M93" s="144">
        <f t="shared" si="27"/>
        <v>-1.2833875872715339E-3</v>
      </c>
      <c r="N93" s="205">
        <f t="shared" si="28"/>
        <v>0</v>
      </c>
      <c r="O93" s="205">
        <f t="shared" si="29"/>
        <v>-2.5667751745430679E-5</v>
      </c>
      <c r="P93" s="203"/>
      <c r="Q93" s="203"/>
    </row>
    <row r="94" spans="1:17">
      <c r="A94" s="117">
        <v>79</v>
      </c>
      <c r="B94" s="202">
        <f t="shared" si="17"/>
        <v>599.99229967447639</v>
      </c>
      <c r="C94" s="202">
        <f t="shared" si="19"/>
        <v>399.99229967447639</v>
      </c>
      <c r="D94" s="103">
        <v>0</v>
      </c>
      <c r="E94" s="117">
        <f t="shared" si="20"/>
        <v>120001849.05989495</v>
      </c>
      <c r="F94" s="117">
        <f t="shared" si="21"/>
        <v>80001849.059894949</v>
      </c>
      <c r="G94" s="117">
        <f t="shared" si="22"/>
        <v>176.84209551346541</v>
      </c>
      <c r="H94" s="117">
        <f t="shared" si="18"/>
        <v>-176.83882565766146</v>
      </c>
      <c r="I94" s="117">
        <f t="shared" si="23"/>
        <v>120.00184905989495</v>
      </c>
      <c r="J94" s="117">
        <f t="shared" si="24"/>
        <v>80.001849059894951</v>
      </c>
      <c r="K94" s="103">
        <f t="shared" si="25"/>
        <v>314.17059897681497</v>
      </c>
      <c r="L94" s="103">
        <f t="shared" si="26"/>
        <v>50.001803801301662</v>
      </c>
      <c r="M94" s="144">
        <f t="shared" si="27"/>
        <v>-1.8038013016621335E-3</v>
      </c>
      <c r="N94" s="205">
        <f t="shared" si="28"/>
        <v>0</v>
      </c>
      <c r="O94" s="205">
        <f t="shared" si="29"/>
        <v>-3.6076026033242671E-5</v>
      </c>
      <c r="P94" s="203"/>
      <c r="Q94" s="203"/>
    </row>
    <row r="95" spans="1:17">
      <c r="A95" s="117">
        <v>80</v>
      </c>
      <c r="B95" s="202">
        <f t="shared" si="17"/>
        <v>599.98917719219003</v>
      </c>
      <c r="C95" s="202">
        <f t="shared" si="19"/>
        <v>399.98917719219003</v>
      </c>
      <c r="D95" s="103">
        <v>0</v>
      </c>
      <c r="E95" s="117">
        <f t="shared" si="20"/>
        <v>120000511.18607596</v>
      </c>
      <c r="F95" s="117">
        <f t="shared" si="21"/>
        <v>80000511.186075956</v>
      </c>
      <c r="G95" s="117">
        <f t="shared" si="22"/>
        <v>176.83972963311513</v>
      </c>
      <c r="H95" s="117">
        <f t="shared" si="18"/>
        <v>-176.83882565766146</v>
      </c>
      <c r="I95" s="117">
        <f t="shared" si="23"/>
        <v>120.00051118607595</v>
      </c>
      <c r="J95" s="117">
        <f t="shared" si="24"/>
        <v>80.000511186075954</v>
      </c>
      <c r="K95" s="103">
        <f t="shared" si="25"/>
        <v>314.17150295226861</v>
      </c>
      <c r="L95" s="103">
        <f t="shared" si="26"/>
        <v>50.00194767346354</v>
      </c>
      <c r="M95" s="144">
        <f t="shared" si="27"/>
        <v>-1.9476734635404114E-3</v>
      </c>
      <c r="N95" s="205">
        <f t="shared" si="28"/>
        <v>0</v>
      </c>
      <c r="O95" s="205">
        <f t="shared" si="29"/>
        <v>-3.8953469270808225E-5</v>
      </c>
      <c r="P95" s="203"/>
      <c r="Q95" s="203"/>
    </row>
    <row r="96" spans="1:17">
      <c r="A96" s="117">
        <v>81</v>
      </c>
      <c r="B96" s="202">
        <f t="shared" si="17"/>
        <v>599.98831395921877</v>
      </c>
      <c r="C96" s="202">
        <f t="shared" si="19"/>
        <v>399.98831395921877</v>
      </c>
      <c r="D96" s="103">
        <v>0</v>
      </c>
      <c r="E96" s="117">
        <f t="shared" si="20"/>
        <v>119999561.72133189</v>
      </c>
      <c r="F96" s="117">
        <f t="shared" si="21"/>
        <v>79999561.721331894</v>
      </c>
      <c r="G96" s="117">
        <f t="shared" si="22"/>
        <v>176.83805061081168</v>
      </c>
      <c r="H96" s="117">
        <f t="shared" si="18"/>
        <v>-176.83882565766146</v>
      </c>
      <c r="I96" s="117">
        <f t="shared" si="23"/>
        <v>119.9995617213319</v>
      </c>
      <c r="J96" s="117">
        <f t="shared" si="24"/>
        <v>79.999561721331901</v>
      </c>
      <c r="K96" s="103">
        <f t="shared" si="25"/>
        <v>314.17072790541886</v>
      </c>
      <c r="L96" s="103">
        <f t="shared" si="26"/>
        <v>50.001824320926275</v>
      </c>
      <c r="M96" s="144">
        <f t="shared" si="27"/>
        <v>-1.824320926274936E-3</v>
      </c>
      <c r="N96" s="205">
        <f t="shared" si="28"/>
        <v>0</v>
      </c>
      <c r="O96" s="205">
        <f t="shared" si="29"/>
        <v>-3.6486418525498718E-5</v>
      </c>
      <c r="P96" s="203"/>
      <c r="Q96" s="203"/>
    </row>
    <row r="97" spans="1:17">
      <c r="A97" s="117">
        <v>82</v>
      </c>
      <c r="B97" s="202">
        <f t="shared" si="17"/>
        <v>599.98905407444238</v>
      </c>
      <c r="C97" s="202">
        <f t="shared" si="19"/>
        <v>399.98905407444238</v>
      </c>
      <c r="D97" s="103">
        <v>0</v>
      </c>
      <c r="E97" s="117">
        <f t="shared" si="20"/>
        <v>119998978.08585075</v>
      </c>
      <c r="F97" s="117">
        <f t="shared" si="21"/>
        <v>79998978.085850745</v>
      </c>
      <c r="G97" s="117">
        <f t="shared" si="22"/>
        <v>176.8370185166807</v>
      </c>
      <c r="H97" s="117">
        <f t="shared" si="18"/>
        <v>-176.83882565766146</v>
      </c>
      <c r="I97" s="117">
        <f t="shared" si="23"/>
        <v>119.99897808585075</v>
      </c>
      <c r="J97" s="117">
        <f t="shared" si="24"/>
        <v>79.998978085850752</v>
      </c>
      <c r="K97" s="103">
        <f t="shared" si="25"/>
        <v>314.1689207644381</v>
      </c>
      <c r="L97" s="103">
        <f t="shared" si="26"/>
        <v>50.001536705506325</v>
      </c>
      <c r="M97" s="144">
        <f t="shared" si="27"/>
        <v>-1.53670550632512E-3</v>
      </c>
      <c r="N97" s="205">
        <f t="shared" si="28"/>
        <v>0</v>
      </c>
      <c r="O97" s="205">
        <f t="shared" si="29"/>
        <v>-3.0734110126502401E-5</v>
      </c>
      <c r="P97" s="203"/>
      <c r="Q97" s="203"/>
    </row>
    <row r="98" spans="1:17">
      <c r="A98" s="117">
        <v>83</v>
      </c>
      <c r="B98" s="202">
        <f t="shared" si="17"/>
        <v>599.99077976696208</v>
      </c>
      <c r="C98" s="202">
        <f t="shared" si="19"/>
        <v>399.99077976696208</v>
      </c>
      <c r="D98" s="103">
        <v>0</v>
      </c>
      <c r="E98" s="117">
        <f t="shared" si="20"/>
        <v>119998704.04169798</v>
      </c>
      <c r="F98" s="117">
        <f t="shared" si="21"/>
        <v>79998704.041697964</v>
      </c>
      <c r="G98" s="117">
        <f t="shared" si="22"/>
        <v>176.83653390021917</v>
      </c>
      <c r="H98" s="117">
        <f t="shared" si="18"/>
        <v>-176.83882565766146</v>
      </c>
      <c r="I98" s="117">
        <f t="shared" si="23"/>
        <v>119.99870404169798</v>
      </c>
      <c r="J98" s="117">
        <f t="shared" si="24"/>
        <v>79.998704041697962</v>
      </c>
      <c r="K98" s="103">
        <f t="shared" si="25"/>
        <v>314.16662900699578</v>
      </c>
      <c r="L98" s="103">
        <f t="shared" si="26"/>
        <v>50.001171960981011</v>
      </c>
      <c r="M98" s="144">
        <f t="shared" si="27"/>
        <v>-1.1719609810114662E-3</v>
      </c>
      <c r="N98" s="205">
        <f t="shared" si="28"/>
        <v>0</v>
      </c>
      <c r="O98" s="205">
        <f t="shared" si="29"/>
        <v>-2.3439219620229324E-5</v>
      </c>
      <c r="P98" s="203"/>
      <c r="Q98" s="203"/>
    </row>
    <row r="99" spans="1:17">
      <c r="A99" s="117">
        <v>84</v>
      </c>
      <c r="B99" s="202">
        <f t="shared" si="17"/>
        <v>599.99296823411396</v>
      </c>
      <c r="C99" s="202">
        <f t="shared" si="19"/>
        <v>399.99296823411396</v>
      </c>
      <c r="D99" s="103">
        <v>0</v>
      </c>
      <c r="E99" s="117">
        <f t="shared" si="20"/>
        <v>119998667.24340625</v>
      </c>
      <c r="F99" s="117">
        <f t="shared" si="21"/>
        <v>79998667.243406236</v>
      </c>
      <c r="G99" s="117">
        <f t="shared" si="22"/>
        <v>176.83646882655219</v>
      </c>
      <c r="H99" s="117">
        <f t="shared" si="18"/>
        <v>-176.83882565766146</v>
      </c>
      <c r="I99" s="117">
        <f t="shared" si="23"/>
        <v>119.99866724340625</v>
      </c>
      <c r="J99" s="117">
        <f t="shared" si="24"/>
        <v>79.998667243406231</v>
      </c>
      <c r="K99" s="103">
        <f t="shared" si="25"/>
        <v>314.16427217588648</v>
      </c>
      <c r="L99" s="103">
        <f t="shared" si="26"/>
        <v>50.000796859659935</v>
      </c>
      <c r="M99" s="144">
        <f t="shared" si="27"/>
        <v>-7.9685965993547825E-4</v>
      </c>
      <c r="N99" s="205">
        <f t="shared" si="28"/>
        <v>0</v>
      </c>
      <c r="O99" s="205">
        <f t="shared" si="29"/>
        <v>-1.5937193198709563E-5</v>
      </c>
      <c r="P99" s="203"/>
      <c r="Q99" s="203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3"/>
  <sheetViews>
    <sheetView topLeftCell="A126" workbookViewId="0">
      <selection activeCell="B9" sqref="B9"/>
    </sheetView>
  </sheetViews>
  <sheetFormatPr baseColWidth="10" defaultRowHeight="15" x14ac:dyDescent="0"/>
  <cols>
    <col min="2" max="2" width="14.33203125" customWidth="1"/>
    <col min="3" max="3" width="10.5" customWidth="1"/>
    <col min="4" max="4" width="10.83203125" customWidth="1"/>
  </cols>
  <sheetData>
    <row r="1" spans="1:25" ht="16" thickBot="1">
      <c r="A1" s="2" t="s">
        <v>0</v>
      </c>
      <c r="B1" s="2" t="s">
        <v>5</v>
      </c>
      <c r="C1" s="3" t="s">
        <v>4</v>
      </c>
      <c r="D1" s="48">
        <v>3000</v>
      </c>
      <c r="E1" s="3" t="s">
        <v>26</v>
      </c>
      <c r="F1" s="4"/>
      <c r="G1" s="2" t="s">
        <v>25</v>
      </c>
      <c r="H1" s="3"/>
      <c r="I1" s="3"/>
      <c r="J1" s="12"/>
      <c r="K1" t="s">
        <v>48</v>
      </c>
      <c r="P1" s="6">
        <v>60</v>
      </c>
      <c r="R1" s="61" t="s">
        <v>65</v>
      </c>
      <c r="S1" s="3"/>
      <c r="T1" s="3"/>
      <c r="U1" s="3"/>
      <c r="V1" s="3" t="s">
        <v>52</v>
      </c>
      <c r="W1" s="3" t="s">
        <v>66</v>
      </c>
      <c r="X1" s="3"/>
      <c r="Y1" s="4"/>
    </row>
    <row r="2" spans="1:25">
      <c r="A2" s="5"/>
      <c r="B2" s="5" t="s">
        <v>6</v>
      </c>
      <c r="C2" s="6" t="s">
        <v>7</v>
      </c>
      <c r="D2" s="6">
        <v>3</v>
      </c>
      <c r="E2" s="6" t="s">
        <v>8</v>
      </c>
      <c r="F2" s="7"/>
      <c r="G2" s="5" t="s">
        <v>27</v>
      </c>
      <c r="H2" s="13" t="s">
        <v>28</v>
      </c>
      <c r="I2" s="14">
        <f>D3*60/(2*3.142*D1)</f>
        <v>0.14322087842138764</v>
      </c>
      <c r="J2" s="6" t="s">
        <v>32</v>
      </c>
      <c r="K2" s="21" t="s">
        <v>40</v>
      </c>
      <c r="L2" s="3"/>
      <c r="M2" s="3" t="s">
        <v>41</v>
      </c>
      <c r="N2" s="3">
        <f>D1*D4/I3</f>
        <v>4800</v>
      </c>
      <c r="O2" s="3" t="s">
        <v>26</v>
      </c>
      <c r="P2" s="3"/>
      <c r="Q2" s="4"/>
      <c r="R2" s="5" t="s">
        <v>78</v>
      </c>
      <c r="S2" s="6" t="s">
        <v>13</v>
      </c>
      <c r="T2" s="6"/>
      <c r="U2" s="6">
        <f>D4</f>
        <v>24</v>
      </c>
      <c r="V2" s="6" t="s">
        <v>3</v>
      </c>
      <c r="W2" s="6" t="s">
        <v>72</v>
      </c>
      <c r="X2" s="6"/>
      <c r="Y2" s="7"/>
    </row>
    <row r="3" spans="1:25">
      <c r="A3" s="5"/>
      <c r="B3" s="5" t="s">
        <v>9</v>
      </c>
      <c r="C3" s="6" t="s">
        <v>10</v>
      </c>
      <c r="D3" s="6">
        <v>45</v>
      </c>
      <c r="E3" s="6" t="s">
        <v>11</v>
      </c>
      <c r="F3" s="7"/>
      <c r="G3" s="13" t="s">
        <v>31</v>
      </c>
      <c r="H3" s="13" t="s">
        <v>14</v>
      </c>
      <c r="I3" s="14">
        <f>D3/D2</f>
        <v>15</v>
      </c>
      <c r="J3" s="6" t="s">
        <v>3</v>
      </c>
      <c r="K3" s="5"/>
      <c r="L3" s="6"/>
      <c r="M3" s="6" t="s">
        <v>41</v>
      </c>
      <c r="N3" s="6">
        <f>I6*D4*60/(2*3.142)</f>
        <v>4800</v>
      </c>
      <c r="O3" s="6" t="s">
        <v>26</v>
      </c>
      <c r="P3" s="6"/>
      <c r="Q3" s="7"/>
      <c r="R3" s="5" t="s">
        <v>79</v>
      </c>
      <c r="S3" s="6" t="s">
        <v>70</v>
      </c>
      <c r="T3" s="6" t="s">
        <v>71</v>
      </c>
      <c r="U3" s="6">
        <v>3.6</v>
      </c>
      <c r="V3" s="6" t="s">
        <v>3</v>
      </c>
      <c r="W3" s="6" t="s">
        <v>73</v>
      </c>
      <c r="X3" s="6"/>
      <c r="Y3" s="7"/>
    </row>
    <row r="4" spans="1:25" ht="16" thickBot="1">
      <c r="A4" s="5"/>
      <c r="B4" s="5" t="s">
        <v>12</v>
      </c>
      <c r="C4" s="6" t="s">
        <v>13</v>
      </c>
      <c r="D4" s="6">
        <v>24</v>
      </c>
      <c r="E4" s="6" t="s">
        <v>3</v>
      </c>
      <c r="F4" s="7"/>
      <c r="G4" s="5" t="s">
        <v>29</v>
      </c>
      <c r="H4" s="13" t="s">
        <v>30</v>
      </c>
      <c r="I4" s="14">
        <f>(D4-I3)/D2</f>
        <v>3</v>
      </c>
      <c r="J4" s="6" t="s">
        <v>33</v>
      </c>
      <c r="K4" s="5"/>
      <c r="L4" s="6"/>
      <c r="M4" s="6"/>
      <c r="N4" s="6"/>
      <c r="O4" s="6"/>
      <c r="P4" s="6"/>
      <c r="Q4" s="7"/>
      <c r="R4" s="8" t="s">
        <v>77</v>
      </c>
      <c r="S4" s="9" t="s">
        <v>76</v>
      </c>
      <c r="T4" s="9" t="s">
        <v>80</v>
      </c>
      <c r="U4" s="9">
        <v>36</v>
      </c>
      <c r="V4" s="9" t="s">
        <v>3</v>
      </c>
      <c r="W4" t="s">
        <v>81</v>
      </c>
      <c r="X4" s="9"/>
      <c r="Y4" s="11"/>
    </row>
    <row r="5" spans="1:25" ht="16" thickBot="1">
      <c r="A5" s="8"/>
      <c r="B5" s="8" t="s">
        <v>15</v>
      </c>
      <c r="C5" s="9" t="s">
        <v>1</v>
      </c>
      <c r="D5" s="9">
        <v>60</v>
      </c>
      <c r="E5" s="10">
        <v>9.9999999999999995E-7</v>
      </c>
      <c r="F5" s="11" t="s">
        <v>2</v>
      </c>
      <c r="G5" s="8" t="s">
        <v>38</v>
      </c>
      <c r="H5" s="9" t="s">
        <v>4</v>
      </c>
      <c r="I5" s="15">
        <f>D1/60</f>
        <v>50</v>
      </c>
      <c r="J5" s="9" t="s">
        <v>35</v>
      </c>
      <c r="K5" s="5"/>
      <c r="L5" s="6" t="s">
        <v>53</v>
      </c>
      <c r="M5" s="6" t="s">
        <v>52</v>
      </c>
      <c r="N5" s="6"/>
      <c r="O5" s="6"/>
      <c r="P5" s="6" t="s">
        <v>53</v>
      </c>
      <c r="Q5" s="7" t="s">
        <v>52</v>
      </c>
    </row>
    <row r="6" spans="1:25" ht="16" thickBot="1">
      <c r="E6" s="1"/>
      <c r="G6" s="21" t="s">
        <v>42</v>
      </c>
      <c r="H6" s="3"/>
      <c r="I6" s="22">
        <f>2*3.142*D1/(I3*60)</f>
        <v>20.946666666666665</v>
      </c>
      <c r="J6" s="27" t="s">
        <v>37</v>
      </c>
      <c r="K6" s="5" t="s">
        <v>46</v>
      </c>
      <c r="L6" s="16">
        <f>I7*D5*E5/C9</f>
        <v>7.8977312000000008</v>
      </c>
      <c r="M6" s="29">
        <v>1</v>
      </c>
      <c r="N6" s="6"/>
      <c r="O6" s="6" t="s">
        <v>49</v>
      </c>
      <c r="P6" s="14">
        <f>I6/L7</f>
        <v>2.354158177611239</v>
      </c>
      <c r="Q6" s="7" t="s">
        <v>37</v>
      </c>
    </row>
    <row r="7" spans="1:25" ht="16" thickBot="1">
      <c r="A7" s="18" t="s">
        <v>18</v>
      </c>
      <c r="B7" s="19" t="s">
        <v>19</v>
      </c>
      <c r="C7" s="19" t="s">
        <v>20</v>
      </c>
      <c r="D7" s="24">
        <v>24</v>
      </c>
      <c r="E7" s="20" t="s">
        <v>3</v>
      </c>
      <c r="G7" s="23" t="s">
        <v>43</v>
      </c>
      <c r="H7" s="9"/>
      <c r="I7" s="17">
        <f>I6*I4*D2/I2</f>
        <v>1316.2885333333334</v>
      </c>
      <c r="J7" s="28" t="s">
        <v>44</v>
      </c>
      <c r="K7" s="5" t="s">
        <v>47</v>
      </c>
      <c r="L7" s="16">
        <f>L6+1</f>
        <v>8.8977312000000008</v>
      </c>
      <c r="M7" s="29">
        <v>1</v>
      </c>
      <c r="N7" s="6"/>
      <c r="O7" s="6" t="s">
        <v>50</v>
      </c>
      <c r="P7" s="16">
        <f>I7/L7</f>
        <v>147.93529988109029</v>
      </c>
      <c r="Q7" s="7" t="s">
        <v>44</v>
      </c>
    </row>
    <row r="8" spans="1:25" ht="16" thickBot="1">
      <c r="E8" s="1"/>
      <c r="K8" s="8"/>
      <c r="L8" s="9"/>
      <c r="M8" s="9"/>
      <c r="N8" s="9"/>
      <c r="O8" s="9" t="s">
        <v>51</v>
      </c>
      <c r="P8" s="15">
        <f>L6/L7</f>
        <v>0.88761179928654177</v>
      </c>
      <c r="Q8" s="30">
        <v>1</v>
      </c>
    </row>
    <row r="9" spans="1:25" ht="16" thickBot="1">
      <c r="A9" s="18" t="s">
        <v>16</v>
      </c>
      <c r="B9" s="19" t="s">
        <v>111</v>
      </c>
      <c r="C9" s="19">
        <v>0.01</v>
      </c>
      <c r="D9" s="25" t="s">
        <v>34</v>
      </c>
      <c r="E9" s="19" t="s">
        <v>58</v>
      </c>
      <c r="F9" s="19"/>
      <c r="G9" s="26"/>
    </row>
    <row r="10" spans="1:25" ht="16" thickBot="1">
      <c r="D10" s="1"/>
    </row>
    <row r="11" spans="1:25" ht="16" thickBot="1">
      <c r="A11" s="208" t="s">
        <v>45</v>
      </c>
      <c r="B11" s="209"/>
      <c r="C11" s="209"/>
      <c r="D11" s="209"/>
      <c r="E11" s="210"/>
      <c r="F11" s="42"/>
      <c r="G11" s="42"/>
      <c r="H11" s="42"/>
      <c r="I11" s="42"/>
      <c r="J11" s="45"/>
      <c r="K11" s="56" t="s">
        <v>67</v>
      </c>
      <c r="L11" s="51"/>
      <c r="M11" s="51"/>
      <c r="N11" s="52"/>
      <c r="O11" s="53"/>
    </row>
    <row r="12" spans="1:25" ht="16" thickBot="1">
      <c r="A12" s="2" t="s">
        <v>17</v>
      </c>
      <c r="B12" s="3" t="s">
        <v>22</v>
      </c>
      <c r="C12" s="49" t="s">
        <v>60</v>
      </c>
      <c r="D12" s="31" t="s">
        <v>64</v>
      </c>
      <c r="E12" s="31" t="s">
        <v>55</v>
      </c>
      <c r="F12" s="3" t="s">
        <v>56</v>
      </c>
      <c r="G12" s="32" t="s">
        <v>57</v>
      </c>
      <c r="H12" s="13" t="s">
        <v>54</v>
      </c>
      <c r="I12" s="42"/>
      <c r="J12" s="6"/>
      <c r="K12" s="54" t="s">
        <v>61</v>
      </c>
      <c r="L12" s="47" t="s">
        <v>23</v>
      </c>
      <c r="M12" s="46" t="s">
        <v>62</v>
      </c>
      <c r="N12" s="55" t="s">
        <v>63</v>
      </c>
      <c r="O12" s="55"/>
      <c r="P12" s="47" t="s">
        <v>68</v>
      </c>
      <c r="Q12" s="46" t="s">
        <v>74</v>
      </c>
      <c r="R12" s="46"/>
    </row>
    <row r="13" spans="1:25" ht="16" thickBot="1">
      <c r="A13" s="5">
        <v>-1</v>
      </c>
      <c r="B13" s="6">
        <v>0</v>
      </c>
      <c r="C13" s="38">
        <f>D7</f>
        <v>24</v>
      </c>
      <c r="D13" s="44">
        <v>0</v>
      </c>
      <c r="E13" s="50">
        <v>0</v>
      </c>
      <c r="F13" s="39">
        <f>E13*60/(2*3.142)</f>
        <v>0</v>
      </c>
      <c r="G13" s="40">
        <f>F13/$D$1</f>
        <v>0</v>
      </c>
      <c r="H13" s="43" t="s">
        <v>59</v>
      </c>
      <c r="I13" s="43"/>
      <c r="J13" s="33"/>
      <c r="K13" s="23"/>
      <c r="L13" s="28"/>
      <c r="M13" s="9"/>
      <c r="N13" s="9"/>
      <c r="O13" s="11"/>
      <c r="Q13" t="s">
        <v>75</v>
      </c>
    </row>
    <row r="14" spans="1:25">
      <c r="A14" s="5">
        <v>0</v>
      </c>
      <c r="B14" s="6">
        <v>0.5</v>
      </c>
      <c r="C14" s="35">
        <f>N14</f>
        <v>78.307743565011265</v>
      </c>
      <c r="D14" s="35">
        <f>($D$1-F14)/$D$1</f>
        <v>0.85389533907250426</v>
      </c>
      <c r="E14" s="35">
        <f>($P$6*C13-$P$7*B14*$I$2+$P$8*E13)</f>
        <v>45.906084463419155</v>
      </c>
      <c r="F14" s="33">
        <f t="shared" ref="F14" si="0">E14*60/(2*3.142)</f>
        <v>438.31398278248719</v>
      </c>
      <c r="G14" s="34">
        <f t="shared" ref="G14" si="1">F14/$D$1</f>
        <v>0.14610466092749572</v>
      </c>
      <c r="H14" s="6"/>
      <c r="I14" s="16"/>
      <c r="J14" s="33"/>
      <c r="K14" s="35">
        <f t="shared" ref="K14:K45" si="2">D14*$U$2+$D$7</f>
        <v>44.493488137740101</v>
      </c>
      <c r="L14" s="16">
        <f t="shared" ref="L14:L45" si="3">$U$3*P14+$D$7</f>
        <v>27.074023220661015</v>
      </c>
      <c r="M14" s="16">
        <f t="shared" ref="M14:M45" si="4">D14*$U$2+$U$3*P14+$D$7</f>
        <v>47.56751135840112</v>
      </c>
      <c r="N14" s="16">
        <f>D14*$U$2+$U$3*P14+$D$7 + $U$4*Q14</f>
        <v>78.307743565011265</v>
      </c>
      <c r="O14" s="7"/>
      <c r="P14" s="57">
        <f>D14</f>
        <v>0.85389533907250426</v>
      </c>
      <c r="Q14" s="57">
        <f>D14-D13</f>
        <v>0.85389533907250426</v>
      </c>
      <c r="R14" s="62"/>
    </row>
    <row r="15" spans="1:25">
      <c r="A15" s="5">
        <v>1</v>
      </c>
      <c r="B15" s="6">
        <v>0.5</v>
      </c>
      <c r="C15" s="35">
        <f t="shared" ref="C15:C78" si="5">N15</f>
        <v>16.514567888872733</v>
      </c>
      <c r="D15" s="35">
        <f t="shared" ref="D15:D78" si="6">($D$1-F15)/$D$1</f>
        <v>0.31730781249719925</v>
      </c>
      <c r="E15" s="35">
        <f t="shared" ref="E15:E78" si="7">($P$6*C14-$P$7*B15*$I$2+$P$8*E14)</f>
        <v>214.50188531338</v>
      </c>
      <c r="F15" s="33">
        <f t="shared" ref="F15" si="8">E15*60/(2*3.142)</f>
        <v>2048.0765625084023</v>
      </c>
      <c r="G15" s="34">
        <f t="shared" ref="G15" si="9">F15/$D$1</f>
        <v>0.68269218750280081</v>
      </c>
      <c r="H15" s="6"/>
      <c r="I15" s="16"/>
      <c r="J15" s="33"/>
      <c r="K15" s="35">
        <f t="shared" si="2"/>
        <v>31.61538749993278</v>
      </c>
      <c r="L15" s="16">
        <f t="shared" si="3"/>
        <v>28.216331345650932</v>
      </c>
      <c r="M15" s="16">
        <f t="shared" si="4"/>
        <v>35.831718845583715</v>
      </c>
      <c r="N15" s="16">
        <f t="shared" ref="N15:N78" si="10">D15*$U$2+$U$3*P15+$D$7 + $U$4*Q15</f>
        <v>16.514567888872733</v>
      </c>
      <c r="O15" s="7"/>
      <c r="P15" s="57">
        <f>D15+P14</f>
        <v>1.1712031515697034</v>
      </c>
      <c r="Q15" s="57">
        <f t="shared" ref="Q15:Q78" si="11">D15-D14</f>
        <v>-0.53658752657530506</v>
      </c>
      <c r="R15" s="62"/>
    </row>
    <row r="16" spans="1:25">
      <c r="A16" s="5">
        <v>2</v>
      </c>
      <c r="B16" s="6">
        <v>0.5</v>
      </c>
      <c r="C16" s="35">
        <f t="shared" si="5"/>
        <v>36.128581704296948</v>
      </c>
      <c r="D16" s="35">
        <f t="shared" si="6"/>
        <v>0.30401464793310046</v>
      </c>
      <c r="E16" s="35">
        <f t="shared" si="7"/>
        <v>218.6785976194198</v>
      </c>
      <c r="F16" s="33">
        <f t="shared" ref="F16" si="12">E16*60/(2*3.142)</f>
        <v>2087.9560562006986</v>
      </c>
      <c r="G16" s="34">
        <f t="shared" ref="G16" si="13">F16/$D$1</f>
        <v>0.6959853520668996</v>
      </c>
      <c r="H16" s="6"/>
      <c r="I16" s="16"/>
      <c r="J16" s="33"/>
      <c r="K16" s="35">
        <f t="shared" si="2"/>
        <v>31.296351550394412</v>
      </c>
      <c r="L16" s="16">
        <f t="shared" si="3"/>
        <v>29.310784078210094</v>
      </c>
      <c r="M16" s="16">
        <f t="shared" si="4"/>
        <v>36.607135628604503</v>
      </c>
      <c r="N16" s="16">
        <f t="shared" si="10"/>
        <v>36.128581704296948</v>
      </c>
      <c r="O16" s="7"/>
      <c r="P16" s="57">
        <f t="shared" ref="P16:P79" si="14">D16+P15</f>
        <v>1.475217799502804</v>
      </c>
      <c r="Q16" s="57">
        <f t="shared" si="11"/>
        <v>-1.3293164564098792E-2</v>
      </c>
      <c r="R16" s="62"/>
    </row>
    <row r="17" spans="1:18">
      <c r="A17" s="5">
        <v>3</v>
      </c>
      <c r="B17" s="6">
        <v>0.5</v>
      </c>
      <c r="C17" s="35">
        <f t="shared" si="5"/>
        <v>27.604574188071521</v>
      </c>
      <c r="D17" s="35">
        <f t="shared" si="6"/>
        <v>0.14525656345051963</v>
      </c>
      <c r="E17" s="35">
        <f t="shared" si="7"/>
        <v>268.56038776384673</v>
      </c>
      <c r="F17" s="33">
        <f t="shared" ref="F17" si="15">E17*60/(2*3.142)</f>
        <v>2564.2303096484411</v>
      </c>
      <c r="G17" s="34">
        <f t="shared" ref="G17" si="16">F17/$D$1</f>
        <v>0.85474343654948037</v>
      </c>
      <c r="H17" s="6"/>
      <c r="I17" s="16"/>
      <c r="J17" s="33"/>
      <c r="K17" s="35">
        <f t="shared" si="2"/>
        <v>27.486157522812469</v>
      </c>
      <c r="L17" s="16">
        <f t="shared" si="3"/>
        <v>29.833707706631966</v>
      </c>
      <c r="M17" s="16">
        <f t="shared" si="4"/>
        <v>33.319865229444432</v>
      </c>
      <c r="N17" s="16">
        <f t="shared" si="10"/>
        <v>27.604574188071521</v>
      </c>
      <c r="O17" s="7"/>
      <c r="P17" s="57">
        <f t="shared" si="14"/>
        <v>1.6204743629533236</v>
      </c>
      <c r="Q17" s="57">
        <f t="shared" si="11"/>
        <v>-0.15875808448258083</v>
      </c>
      <c r="R17" s="62"/>
    </row>
    <row r="18" spans="1:18">
      <c r="A18" s="5">
        <v>4</v>
      </c>
      <c r="B18" s="6">
        <v>0.5</v>
      </c>
      <c r="C18" s="35">
        <f t="shared" si="5"/>
        <v>28.942470898960519</v>
      </c>
      <c r="D18" s="35">
        <f t="shared" si="6"/>
        <v>6.8207538939422344E-2</v>
      </c>
      <c r="E18" s="35">
        <f t="shared" si="7"/>
        <v>292.76919126523347</v>
      </c>
      <c r="F18" s="33">
        <f t="shared" ref="F18" si="17">E18*60/(2*3.142)</f>
        <v>2795.377383181733</v>
      </c>
      <c r="G18" s="34">
        <f t="shared" ref="G18" si="18">F18/$D$1</f>
        <v>0.93179246106057767</v>
      </c>
      <c r="H18" s="6"/>
      <c r="I18" s="16"/>
      <c r="J18" s="33"/>
      <c r="K18" s="35">
        <f t="shared" si="2"/>
        <v>25.636980934546138</v>
      </c>
      <c r="L18" s="16">
        <f t="shared" si="3"/>
        <v>30.079254846813885</v>
      </c>
      <c r="M18" s="16">
        <f t="shared" si="4"/>
        <v>31.71623578136002</v>
      </c>
      <c r="N18" s="16">
        <f t="shared" si="10"/>
        <v>28.942470898960519</v>
      </c>
      <c r="O18" s="7"/>
      <c r="P18" s="57">
        <f t="shared" si="14"/>
        <v>1.6886819018927459</v>
      </c>
      <c r="Q18" s="57">
        <f t="shared" si="11"/>
        <v>-7.7049024511097283E-2</v>
      </c>
      <c r="R18" s="62"/>
    </row>
    <row r="19" spans="1:18">
      <c r="A19" s="5">
        <v>5</v>
      </c>
      <c r="B19" s="6">
        <v>0.5</v>
      </c>
      <c r="C19" s="35">
        <f t="shared" si="5"/>
        <v>26.974660351673801</v>
      </c>
      <c r="D19" s="35">
        <f t="shared" si="6"/>
        <v>-1.0206337945296885E-2</v>
      </c>
      <c r="E19" s="35">
        <f t="shared" si="7"/>
        <v>317.40683138241224</v>
      </c>
      <c r="F19" s="33">
        <f t="shared" ref="F19" si="19">E19*60/(2*3.142)</f>
        <v>3030.6190138358907</v>
      </c>
      <c r="G19" s="34">
        <f t="shared" ref="G19" si="20">F19/$D$1</f>
        <v>1.0102063379452968</v>
      </c>
      <c r="H19" s="6"/>
      <c r="I19" s="16"/>
      <c r="J19" s="33"/>
      <c r="K19" s="35">
        <f t="shared" si="2"/>
        <v>23.755047889312873</v>
      </c>
      <c r="L19" s="16">
        <f t="shared" si="3"/>
        <v>30.042512030210816</v>
      </c>
      <c r="M19" s="16">
        <f t="shared" si="4"/>
        <v>29.797559919523692</v>
      </c>
      <c r="N19" s="16">
        <f t="shared" si="10"/>
        <v>26.974660351673801</v>
      </c>
      <c r="O19" s="7"/>
      <c r="P19" s="57">
        <f t="shared" si="14"/>
        <v>1.6784755639474491</v>
      </c>
      <c r="Q19" s="57">
        <f t="shared" si="11"/>
        <v>-7.8413876884719236E-2</v>
      </c>
      <c r="R19" s="62"/>
    </row>
    <row r="20" spans="1:18">
      <c r="A20" s="5">
        <v>6</v>
      </c>
      <c r="B20" s="6">
        <v>0.5</v>
      </c>
      <c r="C20" s="35">
        <f t="shared" si="5"/>
        <v>26.271901097256624</v>
      </c>
      <c r="D20" s="35">
        <f t="shared" si="6"/>
        <v>-6.5063507845674245E-2</v>
      </c>
      <c r="E20" s="35">
        <f t="shared" si="7"/>
        <v>334.64295416511084</v>
      </c>
      <c r="F20" s="33">
        <f t="shared" ref="F20" si="21">E20*60/(2*3.142)</f>
        <v>3195.1905235370227</v>
      </c>
      <c r="G20" s="34">
        <f t="shared" ref="G20" si="22">F20/$D$1</f>
        <v>1.0650635078456743</v>
      </c>
      <c r="H20" s="6"/>
      <c r="I20" s="16"/>
      <c r="J20" s="33"/>
      <c r="K20" s="35">
        <f t="shared" si="2"/>
        <v>22.438475811703817</v>
      </c>
      <c r="L20" s="16">
        <f t="shared" si="3"/>
        <v>29.808283401966388</v>
      </c>
      <c r="M20" s="16">
        <f t="shared" si="4"/>
        <v>28.246759213670209</v>
      </c>
      <c r="N20" s="16">
        <f t="shared" si="10"/>
        <v>26.271901097256624</v>
      </c>
      <c r="O20" s="7"/>
      <c r="P20" s="57">
        <f t="shared" si="14"/>
        <v>1.6134120561017748</v>
      </c>
      <c r="Q20" s="57">
        <f t="shared" si="11"/>
        <v>-5.485716990037736E-2</v>
      </c>
      <c r="R20" s="62"/>
    </row>
    <row r="21" spans="1:18">
      <c r="A21" s="5">
        <v>7</v>
      </c>
      <c r="B21" s="6">
        <v>0.5</v>
      </c>
      <c r="C21" s="35">
        <f t="shared" si="5"/>
        <v>25.250610608186733</v>
      </c>
      <c r="D21" s="35">
        <f t="shared" si="6"/>
        <v>-0.1084899225821373</v>
      </c>
      <c r="E21" s="35">
        <f t="shared" si="7"/>
        <v>348.28753367530754</v>
      </c>
      <c r="F21" s="33">
        <f t="shared" ref="F21" si="23">E21*60/(2*3.142)</f>
        <v>3325.4697677464119</v>
      </c>
      <c r="G21" s="34">
        <f t="shared" ref="G21" si="24">F21/$D$1</f>
        <v>1.1084899225821372</v>
      </c>
      <c r="H21" s="6"/>
      <c r="I21" s="16"/>
      <c r="J21" s="33"/>
      <c r="K21" s="35">
        <f t="shared" si="2"/>
        <v>21.396241858028706</v>
      </c>
      <c r="L21" s="16">
        <f t="shared" si="3"/>
        <v>29.417719680670697</v>
      </c>
      <c r="M21" s="16">
        <f t="shared" si="4"/>
        <v>26.813961538699402</v>
      </c>
      <c r="N21" s="16">
        <f t="shared" si="10"/>
        <v>25.250610608186733</v>
      </c>
      <c r="O21" s="7"/>
      <c r="P21" s="57">
        <f t="shared" si="14"/>
        <v>1.5049221335196377</v>
      </c>
      <c r="Q21" s="57">
        <f t="shared" si="11"/>
        <v>-4.3426414736463054E-2</v>
      </c>
      <c r="R21" s="62"/>
    </row>
    <row r="22" spans="1:18">
      <c r="A22" s="5">
        <v>8</v>
      </c>
      <c r="B22" s="6">
        <v>0.5</v>
      </c>
      <c r="C22" s="35">
        <f t="shared" si="5"/>
        <v>24.45855649892378</v>
      </c>
      <c r="D22" s="35">
        <f t="shared" si="6"/>
        <v>-0.13938365400477762</v>
      </c>
      <c r="E22" s="35">
        <f t="shared" si="7"/>
        <v>357.99434408830109</v>
      </c>
      <c r="F22" s="33">
        <f t="shared" ref="F22" si="25">E22*60/(2*3.142)</f>
        <v>3418.1509620143329</v>
      </c>
      <c r="G22" s="34">
        <f t="shared" ref="G22" si="26">F22/$D$1</f>
        <v>1.1393836540047777</v>
      </c>
      <c r="H22" s="6"/>
      <c r="I22" s="16"/>
      <c r="J22" s="33"/>
      <c r="K22" s="35">
        <f t="shared" si="2"/>
        <v>20.654792303885337</v>
      </c>
      <c r="L22" s="16">
        <f t="shared" si="3"/>
        <v>28.915938526253495</v>
      </c>
      <c r="M22" s="16">
        <f t="shared" si="4"/>
        <v>25.570730830138832</v>
      </c>
      <c r="N22" s="16">
        <f t="shared" si="10"/>
        <v>24.45855649892378</v>
      </c>
      <c r="O22" s="7"/>
      <c r="P22" s="57">
        <f t="shared" si="14"/>
        <v>1.36553847951486</v>
      </c>
      <c r="Q22" s="57">
        <f t="shared" si="11"/>
        <v>-3.0893731422640319E-2</v>
      </c>
      <c r="R22" s="62"/>
    </row>
    <row r="23" spans="1:18">
      <c r="A23" s="5">
        <v>9</v>
      </c>
      <c r="B23" s="6">
        <v>0.5</v>
      </c>
      <c r="C23" s="35">
        <f t="shared" si="5"/>
        <v>23.70236769123407</v>
      </c>
      <c r="D23" s="35">
        <f t="shared" si="6"/>
        <v>-0.16087079212565125</v>
      </c>
      <c r="E23" s="35">
        <f t="shared" si="7"/>
        <v>364.74560288587963</v>
      </c>
      <c r="F23" s="33">
        <f t="shared" ref="F23" si="27">E23*60/(2*3.142)</f>
        <v>3482.6123763769538</v>
      </c>
      <c r="G23" s="34">
        <f t="shared" ref="G23" si="28">F23/$D$1</f>
        <v>1.1608707921256514</v>
      </c>
      <c r="H23" s="6"/>
      <c r="I23" s="16"/>
      <c r="J23" s="33"/>
      <c r="K23" s="35">
        <f t="shared" si="2"/>
        <v>20.139100988984371</v>
      </c>
      <c r="L23" s="16">
        <f t="shared" si="3"/>
        <v>28.33680367460115</v>
      </c>
      <c r="M23" s="16">
        <f t="shared" si="4"/>
        <v>24.475904663585521</v>
      </c>
      <c r="N23" s="16">
        <f t="shared" si="10"/>
        <v>23.70236769123407</v>
      </c>
      <c r="O23" s="7"/>
      <c r="P23" s="57">
        <f t="shared" si="14"/>
        <v>1.2046676873892088</v>
      </c>
      <c r="Q23" s="57">
        <f t="shared" si="11"/>
        <v>-2.1487138120873633E-2</v>
      </c>
      <c r="R23" s="62"/>
    </row>
    <row r="24" spans="1:18">
      <c r="A24" s="5">
        <v>10</v>
      </c>
      <c r="B24" s="6">
        <v>0.5</v>
      </c>
      <c r="C24" s="35">
        <f t="shared" si="5"/>
        <v>23.044119123672203</v>
      </c>
      <c r="D24" s="35">
        <f t="shared" si="6"/>
        <v>-0.17427724948824516</v>
      </c>
      <c r="E24" s="35">
        <f t="shared" si="7"/>
        <v>368.95791178920661</v>
      </c>
      <c r="F24" s="33">
        <f t="shared" ref="F24" si="29">E24*60/(2*3.142)</f>
        <v>3522.8317484647355</v>
      </c>
      <c r="G24" s="34">
        <f t="shared" ref="G24" si="30">F24/$D$1</f>
        <v>1.1742772494882452</v>
      </c>
      <c r="H24" s="6"/>
      <c r="I24" s="16"/>
      <c r="J24" s="33"/>
      <c r="K24" s="35">
        <f t="shared" si="2"/>
        <v>19.817346012282115</v>
      </c>
      <c r="L24" s="16">
        <f t="shared" si="3"/>
        <v>27.709405576443469</v>
      </c>
      <c r="M24" s="16">
        <f t="shared" si="4"/>
        <v>23.526751588725585</v>
      </c>
      <c r="N24" s="16">
        <f t="shared" si="10"/>
        <v>23.044119123672203</v>
      </c>
      <c r="O24" s="7"/>
      <c r="P24" s="57">
        <f t="shared" si="14"/>
        <v>1.0303904379009636</v>
      </c>
      <c r="Q24" s="57">
        <f t="shared" si="11"/>
        <v>-1.340645736259391E-2</v>
      </c>
      <c r="R24" s="62"/>
    </row>
    <row r="25" spans="1:18">
      <c r="A25" s="5">
        <v>11</v>
      </c>
      <c r="B25" s="6">
        <v>0.5</v>
      </c>
      <c r="C25" s="35">
        <f t="shared" si="5"/>
        <v>22.456203216830957</v>
      </c>
      <c r="D25" s="35">
        <f t="shared" si="6"/>
        <v>-0.18124502108788268</v>
      </c>
      <c r="E25" s="35">
        <f t="shared" si="7"/>
        <v>371.14718562581277</v>
      </c>
      <c r="F25" s="33">
        <f t="shared" ref="F25" si="31">E25*60/(2*3.142)</f>
        <v>3543.735063263648</v>
      </c>
      <c r="G25" s="34">
        <f t="shared" ref="G25" si="32">F25/$D$1</f>
        <v>1.1812450210878827</v>
      </c>
      <c r="H25" s="6"/>
      <c r="I25" s="16"/>
      <c r="J25" s="33"/>
      <c r="K25" s="35">
        <f t="shared" si="2"/>
        <v>19.650119493890816</v>
      </c>
      <c r="L25" s="16">
        <f t="shared" si="3"/>
        <v>27.056923500527091</v>
      </c>
      <c r="M25" s="16">
        <f t="shared" si="4"/>
        <v>22.707042994417908</v>
      </c>
      <c r="N25" s="16">
        <f t="shared" si="10"/>
        <v>22.456203216830957</v>
      </c>
      <c r="O25" s="7"/>
      <c r="P25" s="57">
        <f t="shared" si="14"/>
        <v>0.84914541681308098</v>
      </c>
      <c r="Q25" s="57">
        <f t="shared" si="11"/>
        <v>-6.9677715996375178E-3</v>
      </c>
      <c r="R25" s="62"/>
    </row>
    <row r="26" spans="1:18">
      <c r="A26" s="5">
        <v>12</v>
      </c>
      <c r="B26" s="6">
        <v>0.5</v>
      </c>
      <c r="C26" s="35">
        <f t="shared" si="5"/>
        <v>21.941372705064161</v>
      </c>
      <c r="D26" s="35">
        <f t="shared" si="6"/>
        <v>-0.18302470997840736</v>
      </c>
      <c r="E26" s="35">
        <f t="shared" si="7"/>
        <v>371.70636387521557</v>
      </c>
      <c r="F26" s="33">
        <f t="shared" ref="F26" si="33">E26*60/(2*3.142)</f>
        <v>3549.0741299352221</v>
      </c>
      <c r="G26" s="34">
        <f t="shared" ref="G26" si="34">F26/$D$1</f>
        <v>1.1830247099784075</v>
      </c>
      <c r="H26" s="6"/>
      <c r="I26" s="16"/>
      <c r="J26" s="33"/>
      <c r="K26" s="35">
        <f t="shared" si="2"/>
        <v>19.607406960518222</v>
      </c>
      <c r="L26" s="16">
        <f t="shared" si="3"/>
        <v>26.398034544604826</v>
      </c>
      <c r="M26" s="16">
        <f t="shared" si="4"/>
        <v>22.005441505123049</v>
      </c>
      <c r="N26" s="16">
        <f t="shared" si="10"/>
        <v>21.941372705064161</v>
      </c>
      <c r="O26" s="7"/>
      <c r="P26" s="57">
        <f t="shared" si="14"/>
        <v>0.66612070683467361</v>
      </c>
      <c r="Q26" s="57">
        <f t="shared" si="11"/>
        <v>-1.7796888905246833E-3</v>
      </c>
      <c r="R26" s="62"/>
    </row>
    <row r="27" spans="1:18">
      <c r="A27" s="5">
        <v>13</v>
      </c>
      <c r="B27" s="6">
        <v>0.5</v>
      </c>
      <c r="C27" s="35">
        <f t="shared" si="5"/>
        <v>21.491415464946627</v>
      </c>
      <c r="D27" s="35">
        <f t="shared" si="6"/>
        <v>-0.18074699117737206</v>
      </c>
      <c r="E27" s="35">
        <f t="shared" si="7"/>
        <v>370.99070462793031</v>
      </c>
      <c r="F27" s="33">
        <f t="shared" ref="F27" si="35">E27*60/(2*3.142)</f>
        <v>3542.2409735321162</v>
      </c>
      <c r="G27" s="34">
        <f t="shared" ref="G27" si="36">F27/$D$1</f>
        <v>1.180746991177372</v>
      </c>
      <c r="H27" s="6"/>
      <c r="I27" s="16"/>
      <c r="J27" s="33"/>
      <c r="K27" s="35">
        <f t="shared" si="2"/>
        <v>19.66207221174307</v>
      </c>
      <c r="L27" s="16">
        <f t="shared" si="3"/>
        <v>25.747345376366287</v>
      </c>
      <c r="M27" s="16">
        <f t="shared" si="4"/>
        <v>21.409417588109356</v>
      </c>
      <c r="N27" s="16">
        <f t="shared" si="10"/>
        <v>21.491415464946627</v>
      </c>
      <c r="O27" s="7"/>
      <c r="P27" s="57">
        <f t="shared" si="14"/>
        <v>0.48537371565730159</v>
      </c>
      <c r="Q27" s="57">
        <f t="shared" si="11"/>
        <v>2.2777188010353056E-3</v>
      </c>
      <c r="R27" s="62"/>
    </row>
    <row r="28" spans="1:18">
      <c r="A28" s="5">
        <v>14</v>
      </c>
      <c r="B28" s="6">
        <v>0.5</v>
      </c>
      <c r="C28" s="35">
        <f t="shared" si="5"/>
        <v>21.101726763932625</v>
      </c>
      <c r="D28" s="35">
        <f t="shared" si="6"/>
        <v>-0.17535393545312974</v>
      </c>
      <c r="E28" s="35">
        <f t="shared" si="7"/>
        <v>369.29620651937336</v>
      </c>
      <c r="F28" s="33">
        <f t="shared" ref="F28" si="37">E28*60/(2*3.142)</f>
        <v>3526.0618063593893</v>
      </c>
      <c r="G28" s="34">
        <f t="shared" ref="G28" si="38">F28/$D$1</f>
        <v>1.1753539354531297</v>
      </c>
      <c r="H28" s="6"/>
      <c r="I28" s="16"/>
      <c r="J28" s="33"/>
      <c r="K28" s="35">
        <f t="shared" si="2"/>
        <v>19.791505549124885</v>
      </c>
      <c r="L28" s="16">
        <f t="shared" si="3"/>
        <v>25.116071208735018</v>
      </c>
      <c r="M28" s="16">
        <f t="shared" si="4"/>
        <v>20.907576757859903</v>
      </c>
      <c r="N28" s="16">
        <f t="shared" si="10"/>
        <v>21.101726763932625</v>
      </c>
      <c r="O28" s="7"/>
      <c r="P28" s="57">
        <f t="shared" si="14"/>
        <v>0.31001978020417187</v>
      </c>
      <c r="Q28" s="57">
        <f t="shared" si="11"/>
        <v>5.3930557242423127E-3</v>
      </c>
      <c r="R28" s="62"/>
    </row>
    <row r="29" spans="1:18">
      <c r="A29" s="5">
        <v>15</v>
      </c>
      <c r="B29" s="6">
        <v>0.5</v>
      </c>
      <c r="C29" s="35">
        <f t="shared" si="5"/>
        <v>20.766448754201853</v>
      </c>
      <c r="D29" s="35">
        <f t="shared" si="6"/>
        <v>-0.16764723476172699</v>
      </c>
      <c r="E29" s="35">
        <f t="shared" si="7"/>
        <v>366.87476116213463</v>
      </c>
      <c r="F29" s="33">
        <f t="shared" ref="F29" si="39">E29*60/(2*3.142)</f>
        <v>3502.941704285181</v>
      </c>
      <c r="G29" s="34">
        <f t="shared" ref="G29" si="40">F29/$D$1</f>
        <v>1.167647234761727</v>
      </c>
      <c r="H29" s="6"/>
      <c r="I29" s="16"/>
      <c r="J29" s="33"/>
      <c r="K29" s="35">
        <f t="shared" si="2"/>
        <v>19.976466365718551</v>
      </c>
      <c r="L29" s="16">
        <f t="shared" si="3"/>
        <v>24.5125411635928</v>
      </c>
      <c r="M29" s="16">
        <f t="shared" si="4"/>
        <v>20.489007529311355</v>
      </c>
      <c r="N29" s="16">
        <f t="shared" si="10"/>
        <v>20.766448754201853</v>
      </c>
      <c r="O29" s="7"/>
      <c r="P29" s="57">
        <f t="shared" si="14"/>
        <v>0.14237254544244488</v>
      </c>
      <c r="Q29" s="57">
        <f t="shared" si="11"/>
        <v>7.7067006914027514E-3</v>
      </c>
      <c r="R29" s="62"/>
    </row>
    <row r="30" spans="1:18">
      <c r="A30" s="5">
        <v>16</v>
      </c>
      <c r="B30" s="6">
        <v>0.5</v>
      </c>
      <c r="C30" s="35">
        <f t="shared" si="5"/>
        <v>20.480305681837091</v>
      </c>
      <c r="D30" s="35">
        <f t="shared" si="6"/>
        <v>-0.1582945901443063</v>
      </c>
      <c r="E30" s="35">
        <f t="shared" si="7"/>
        <v>363.93616022334106</v>
      </c>
      <c r="F30" s="33">
        <f t="shared" ref="F30" si="41">E30*60/(2*3.142)</f>
        <v>3474.8837704329189</v>
      </c>
      <c r="G30" s="34">
        <f t="shared" ref="G30" si="42">F30/$D$1</f>
        <v>1.1582945901443062</v>
      </c>
      <c r="H30" s="6"/>
      <c r="I30" s="16"/>
      <c r="J30" s="33"/>
      <c r="K30" s="35">
        <f t="shared" si="2"/>
        <v>20.200929836536648</v>
      </c>
      <c r="L30" s="16">
        <f t="shared" si="3"/>
        <v>23.942680639073298</v>
      </c>
      <c r="M30" s="16">
        <f t="shared" si="4"/>
        <v>20.143610475609947</v>
      </c>
      <c r="N30" s="16">
        <f t="shared" si="10"/>
        <v>20.480305681837091</v>
      </c>
      <c r="O30" s="7"/>
      <c r="P30" s="57">
        <f t="shared" si="14"/>
        <v>-1.5922044701861426E-2</v>
      </c>
      <c r="Q30" s="57">
        <f t="shared" si="11"/>
        <v>9.3526446174206912E-3</v>
      </c>
      <c r="R30" s="62"/>
    </row>
    <row r="31" spans="1:18">
      <c r="A31" s="5">
        <v>17</v>
      </c>
      <c r="B31" s="6">
        <v>0.5</v>
      </c>
      <c r="C31" s="35">
        <f t="shared" si="5"/>
        <v>20.23808108329958</v>
      </c>
      <c r="D31" s="35">
        <f t="shared" si="6"/>
        <v>-0.14784913209070358</v>
      </c>
      <c r="E31" s="35">
        <f t="shared" si="7"/>
        <v>360.65419730289904</v>
      </c>
      <c r="F31" s="33">
        <f t="shared" ref="F31" si="43">E31*60/(2*3.142)</f>
        <v>3443.5473962721107</v>
      </c>
      <c r="G31" s="34">
        <f t="shared" ref="G31" si="44">F31/$D$1</f>
        <v>1.1478491320907036</v>
      </c>
      <c r="H31" s="6"/>
      <c r="I31" s="16"/>
      <c r="J31" s="33"/>
      <c r="K31" s="35">
        <f t="shared" si="2"/>
        <v>20.451620829823113</v>
      </c>
      <c r="L31" s="16">
        <f t="shared" si="3"/>
        <v>23.410423763546767</v>
      </c>
      <c r="M31" s="16">
        <f t="shared" si="4"/>
        <v>19.86204459336988</v>
      </c>
      <c r="N31" s="16">
        <f t="shared" si="10"/>
        <v>20.23808108329958</v>
      </c>
      <c r="O31" s="7"/>
      <c r="P31" s="57">
        <f t="shared" si="14"/>
        <v>-0.163771176792565</v>
      </c>
      <c r="Q31" s="57">
        <f t="shared" si="11"/>
        <v>1.0445458053602724E-2</v>
      </c>
      <c r="R31" s="62"/>
    </row>
    <row r="32" spans="1:18">
      <c r="A32" s="5">
        <v>18</v>
      </c>
      <c r="B32" s="6">
        <v>0.5</v>
      </c>
      <c r="C32" s="35">
        <f t="shared" si="5"/>
        <v>20.034882181449817</v>
      </c>
      <c r="D32" s="35">
        <f t="shared" si="6"/>
        <v>-0.13676274115349496</v>
      </c>
      <c r="E32" s="35">
        <f t="shared" si="7"/>
        <v>357.1708532704281</v>
      </c>
      <c r="F32" s="33">
        <f t="shared" ref="F32" si="45">E32*60/(2*3.142)</f>
        <v>3410.2882234604849</v>
      </c>
      <c r="G32" s="34">
        <f t="shared" ref="G32" si="46">F32/$D$1</f>
        <v>1.1367627411534951</v>
      </c>
      <c r="H32" s="6"/>
      <c r="I32" s="16"/>
      <c r="J32" s="33"/>
      <c r="K32" s="35">
        <f t="shared" si="2"/>
        <v>20.717694212316122</v>
      </c>
      <c r="L32" s="16">
        <f t="shared" si="3"/>
        <v>22.918077895394184</v>
      </c>
      <c r="M32" s="16">
        <f t="shared" si="4"/>
        <v>19.635772107710306</v>
      </c>
      <c r="N32" s="16">
        <f t="shared" si="10"/>
        <v>20.034882181449817</v>
      </c>
      <c r="O32" s="7"/>
      <c r="P32" s="57">
        <f t="shared" si="14"/>
        <v>-0.30053391794605999</v>
      </c>
      <c r="Q32" s="57">
        <f t="shared" si="11"/>
        <v>1.1086390937208618E-2</v>
      </c>
      <c r="R32" s="62"/>
    </row>
    <row r="33" spans="1:18">
      <c r="A33" s="5">
        <v>19</v>
      </c>
      <c r="B33" s="6">
        <v>0.5</v>
      </c>
      <c r="C33" s="35">
        <f t="shared" si="5"/>
        <v>19.866105959081619</v>
      </c>
      <c r="D33" s="35">
        <f t="shared" si="6"/>
        <v>-0.12539985248173555</v>
      </c>
      <c r="E33" s="35">
        <f t="shared" si="7"/>
        <v>353.60063364976128</v>
      </c>
      <c r="F33" s="33">
        <f t="shared" ref="F33" si="47">E33*60/(2*3.142)</f>
        <v>3376.1995574452067</v>
      </c>
      <c r="G33" s="34">
        <f t="shared" ref="G33" si="48">F33/$D$1</f>
        <v>1.1253998524817355</v>
      </c>
      <c r="H33" s="6"/>
      <c r="I33" s="16"/>
      <c r="J33" s="33"/>
      <c r="K33" s="35">
        <f t="shared" si="2"/>
        <v>20.990403540438347</v>
      </c>
      <c r="L33" s="16">
        <f t="shared" si="3"/>
        <v>22.466638426459937</v>
      </c>
      <c r="M33" s="16">
        <f t="shared" si="4"/>
        <v>19.457041966898281</v>
      </c>
      <c r="N33" s="16">
        <f t="shared" si="10"/>
        <v>19.866105959081619</v>
      </c>
      <c r="O33" s="7"/>
      <c r="P33" s="57">
        <f t="shared" si="14"/>
        <v>-0.42593377042779557</v>
      </c>
      <c r="Q33" s="57">
        <f t="shared" si="11"/>
        <v>1.1362888671759414E-2</v>
      </c>
      <c r="R33" s="62"/>
    </row>
    <row r="34" spans="1:18">
      <c r="A34" s="5">
        <v>20</v>
      </c>
      <c r="B34" s="6">
        <v>0.5</v>
      </c>
      <c r="C34" s="35">
        <f t="shared" si="5"/>
        <v>19.727487797368489</v>
      </c>
      <c r="D34" s="35">
        <f t="shared" si="6"/>
        <v>-0.11404945469235736</v>
      </c>
      <c r="E34" s="35">
        <f t="shared" si="7"/>
        <v>350.03433866433869</v>
      </c>
      <c r="F34" s="33">
        <f t="shared" ref="F34" si="49">E34*60/(2*3.142)</f>
        <v>3342.1483640770721</v>
      </c>
      <c r="G34" s="34">
        <f t="shared" ref="G34" si="50">F34/$D$1</f>
        <v>1.1140494546923574</v>
      </c>
      <c r="H34" s="6"/>
      <c r="I34" s="16"/>
      <c r="J34" s="33"/>
      <c r="K34" s="35">
        <f t="shared" si="2"/>
        <v>21.262813087383424</v>
      </c>
      <c r="L34" s="16">
        <f t="shared" si="3"/>
        <v>22.056060389567449</v>
      </c>
      <c r="M34" s="16">
        <f t="shared" si="4"/>
        <v>19.318873476950873</v>
      </c>
      <c r="N34" s="16">
        <f t="shared" si="10"/>
        <v>19.727487797368489</v>
      </c>
      <c r="O34" s="7"/>
      <c r="P34" s="57">
        <f t="shared" si="14"/>
        <v>-0.53998322512015295</v>
      </c>
      <c r="Q34" s="57">
        <f t="shared" si="11"/>
        <v>1.1350397789378186E-2</v>
      </c>
      <c r="R34" s="62"/>
    </row>
    <row r="35" spans="1:18">
      <c r="A35" s="5">
        <v>21</v>
      </c>
      <c r="B35" s="6">
        <v>0.5</v>
      </c>
      <c r="C35" s="35">
        <f t="shared" si="5"/>
        <v>19.615104503653338</v>
      </c>
      <c r="D35" s="35">
        <f t="shared" si="6"/>
        <v>-0.10293610463583294</v>
      </c>
      <c r="E35" s="35">
        <f t="shared" si="7"/>
        <v>346.54252407657873</v>
      </c>
      <c r="F35" s="33">
        <f t="shared" ref="F35" si="51">E35*60/(2*3.142)</f>
        <v>3308.8083139074988</v>
      </c>
      <c r="G35" s="34">
        <f t="shared" ref="G35" si="52">F35/$D$1</f>
        <v>1.102936104635833</v>
      </c>
      <c r="H35" s="6"/>
      <c r="I35" s="16"/>
      <c r="J35" s="33"/>
      <c r="K35" s="35">
        <f t="shared" si="2"/>
        <v>21.529533488740007</v>
      </c>
      <c r="L35" s="16">
        <f t="shared" si="3"/>
        <v>21.685490412878451</v>
      </c>
      <c r="M35" s="16">
        <f t="shared" si="4"/>
        <v>19.215023901618459</v>
      </c>
      <c r="N35" s="16">
        <f t="shared" si="10"/>
        <v>19.615104503653338</v>
      </c>
      <c r="O35" s="7"/>
      <c r="P35" s="57">
        <f t="shared" si="14"/>
        <v>-0.64291932975598587</v>
      </c>
      <c r="Q35" s="57">
        <f t="shared" si="11"/>
        <v>1.1113350056524418E-2</v>
      </c>
      <c r="R35" s="62"/>
    </row>
    <row r="36" spans="1:18">
      <c r="A36" s="5">
        <v>22</v>
      </c>
      <c r="B36" s="6">
        <v>0.5</v>
      </c>
      <c r="C36" s="35">
        <f t="shared" si="5"/>
        <v>19.525379547783615</v>
      </c>
      <c r="D36" s="35">
        <f t="shared" si="6"/>
        <v>-9.2229726918000327E-2</v>
      </c>
      <c r="E36" s="35">
        <f t="shared" si="7"/>
        <v>343.17858019763571</v>
      </c>
      <c r="F36" s="33">
        <f t="shared" ref="F36" si="53">E36*60/(2*3.142)</f>
        <v>3276.689180754001</v>
      </c>
      <c r="G36" s="34">
        <f t="shared" ref="G36" si="54">F36/$D$1</f>
        <v>1.0922297269180004</v>
      </c>
      <c r="H36" s="6"/>
      <c r="I36" s="16"/>
      <c r="J36" s="33"/>
      <c r="K36" s="35">
        <f t="shared" si="2"/>
        <v>21.786486553967993</v>
      </c>
      <c r="L36" s="16">
        <f t="shared" si="3"/>
        <v>21.353463395973648</v>
      </c>
      <c r="M36" s="16">
        <f t="shared" si="4"/>
        <v>19.139949949941641</v>
      </c>
      <c r="N36" s="16">
        <f t="shared" si="10"/>
        <v>19.525379547783615</v>
      </c>
      <c r="O36" s="7"/>
      <c r="P36" s="57">
        <f t="shared" si="14"/>
        <v>-0.73514905667398622</v>
      </c>
      <c r="Q36" s="57">
        <f t="shared" si="11"/>
        <v>1.0706377717832616E-2</v>
      </c>
      <c r="R36" s="62"/>
    </row>
    <row r="37" spans="1:18">
      <c r="A37" s="5">
        <v>23</v>
      </c>
      <c r="B37" s="6">
        <v>0.5</v>
      </c>
      <c r="C37" s="35">
        <f t="shared" si="5"/>
        <v>19.455076822039729</v>
      </c>
      <c r="D37" s="35">
        <f t="shared" si="6"/>
        <v>-8.2054351304747336E-2</v>
      </c>
      <c r="E37" s="35">
        <f t="shared" si="7"/>
        <v>339.98147717995164</v>
      </c>
      <c r="F37" s="33">
        <f t="shared" ref="F37" si="55">E37*60/(2*3.142)</f>
        <v>3246.163053914242</v>
      </c>
      <c r="G37" s="34">
        <f t="shared" ref="G37" si="56">F37/$D$1</f>
        <v>1.0820543513047474</v>
      </c>
      <c r="H37" s="6"/>
      <c r="I37" s="16"/>
      <c r="J37" s="33"/>
      <c r="K37" s="35">
        <f t="shared" si="2"/>
        <v>22.030695568686063</v>
      </c>
      <c r="L37" s="16">
        <f t="shared" si="3"/>
        <v>21.058067731276559</v>
      </c>
      <c r="M37" s="16">
        <f t="shared" si="4"/>
        <v>19.088763299962622</v>
      </c>
      <c r="N37" s="16">
        <f t="shared" si="10"/>
        <v>19.455076822039729</v>
      </c>
      <c r="O37" s="7"/>
      <c r="P37" s="57">
        <f t="shared" si="14"/>
        <v>-0.81720340797873359</v>
      </c>
      <c r="Q37" s="57">
        <f t="shared" si="11"/>
        <v>1.017537561325299E-2</v>
      </c>
      <c r="R37" s="62"/>
    </row>
    <row r="38" spans="1:18">
      <c r="A38" s="5">
        <v>24</v>
      </c>
      <c r="B38" s="6">
        <v>0.5</v>
      </c>
      <c r="C38" s="35">
        <f t="shared" si="5"/>
        <v>19.401290137749459</v>
      </c>
      <c r="D38" s="35">
        <f t="shared" si="6"/>
        <v>-7.2495821391478033E-2</v>
      </c>
      <c r="E38" s="35">
        <f t="shared" si="7"/>
        <v>336.97818708120235</v>
      </c>
      <c r="F38" s="33">
        <f t="shared" ref="F38" si="57">E38*60/(2*3.142)</f>
        <v>3217.4874641744341</v>
      </c>
      <c r="G38" s="34">
        <f t="shared" ref="G38" si="58">F38/$D$1</f>
        <v>1.0724958213914779</v>
      </c>
      <c r="H38" s="6"/>
      <c r="I38" s="16"/>
      <c r="J38" s="33"/>
      <c r="K38" s="35">
        <f t="shared" si="2"/>
        <v>22.260100286604526</v>
      </c>
      <c r="L38" s="16">
        <f t="shared" si="3"/>
        <v>20.797082774267238</v>
      </c>
      <c r="M38" s="16">
        <f t="shared" si="4"/>
        <v>19.057183060871765</v>
      </c>
      <c r="N38" s="16">
        <f t="shared" si="10"/>
        <v>19.401290137749459</v>
      </c>
      <c r="O38" s="7"/>
      <c r="P38" s="57">
        <f t="shared" si="14"/>
        <v>-0.88969922937021162</v>
      </c>
      <c r="Q38" s="57">
        <f t="shared" si="11"/>
        <v>9.5585299132693036E-3</v>
      </c>
      <c r="R38" s="62"/>
    </row>
    <row r="39" spans="1:18">
      <c r="A39" s="5">
        <v>25</v>
      </c>
      <c r="B39" s="6">
        <v>0.5</v>
      </c>
      <c r="C39" s="35">
        <f t="shared" si="5"/>
        <v>19.361428042078643</v>
      </c>
      <c r="D39" s="35">
        <f t="shared" si="6"/>
        <v>-6.3608558211978111E-2</v>
      </c>
      <c r="E39" s="35">
        <f t="shared" si="7"/>
        <v>334.1858089902035</v>
      </c>
      <c r="F39" s="33">
        <f t="shared" ref="F39" si="59">E39*60/(2*3.142)</f>
        <v>3190.8256746359343</v>
      </c>
      <c r="G39" s="34">
        <f t="shared" ref="G39" si="60">F39/$D$1</f>
        <v>1.0636085582119781</v>
      </c>
      <c r="H39" s="6"/>
      <c r="I39" s="16"/>
      <c r="J39" s="33"/>
      <c r="K39" s="35">
        <f t="shared" si="2"/>
        <v>22.473394602912524</v>
      </c>
      <c r="L39" s="16">
        <f t="shared" si="3"/>
        <v>20.568091964704116</v>
      </c>
      <c r="M39" s="16">
        <f t="shared" si="4"/>
        <v>19.041486567616644</v>
      </c>
      <c r="N39" s="16">
        <f t="shared" si="10"/>
        <v>19.361428042078643</v>
      </c>
      <c r="O39" s="7"/>
      <c r="P39" s="57">
        <f t="shared" si="14"/>
        <v>-0.9533077875821897</v>
      </c>
      <c r="Q39" s="57">
        <f t="shared" si="11"/>
        <v>8.8872631794999213E-3</v>
      </c>
      <c r="R39" s="62"/>
    </row>
    <row r="40" spans="1:18">
      <c r="A40" s="5">
        <v>26</v>
      </c>
      <c r="B40" s="6">
        <v>0.5</v>
      </c>
      <c r="C40" s="35">
        <f t="shared" si="5"/>
        <v>19.333195844370845</v>
      </c>
      <c r="D40" s="35">
        <f t="shared" si="6"/>
        <v>-5.5421449936548468E-2</v>
      </c>
      <c r="E40" s="35">
        <f t="shared" si="7"/>
        <v>331.61341957006351</v>
      </c>
      <c r="F40" s="33">
        <f t="shared" ref="F40" si="61">E40*60/(2*3.142)</f>
        <v>3166.2643498096454</v>
      </c>
      <c r="G40" s="34">
        <f t="shared" ref="G40" si="62">F40/$D$1</f>
        <v>1.0554214499365484</v>
      </c>
      <c r="H40" s="6"/>
      <c r="I40" s="16"/>
      <c r="J40" s="33"/>
      <c r="K40" s="35">
        <f t="shared" si="2"/>
        <v>22.669885201522838</v>
      </c>
      <c r="L40" s="16">
        <f t="shared" si="3"/>
        <v>20.368574744932541</v>
      </c>
      <c r="M40" s="16">
        <f t="shared" si="4"/>
        <v>19.038459946455379</v>
      </c>
      <c r="N40" s="16">
        <f t="shared" si="10"/>
        <v>19.333195844370845</v>
      </c>
      <c r="O40" s="7"/>
      <c r="P40" s="57">
        <f t="shared" si="14"/>
        <v>-1.0087292375187382</v>
      </c>
      <c r="Q40" s="57">
        <f t="shared" si="11"/>
        <v>8.1871082754296429E-3</v>
      </c>
      <c r="R40" s="62"/>
    </row>
    <row r="41" spans="1:18">
      <c r="A41" s="5">
        <v>27</v>
      </c>
      <c r="B41" s="6">
        <v>0.5</v>
      </c>
      <c r="C41" s="35">
        <f t="shared" si="5"/>
        <v>19.314575642615466</v>
      </c>
      <c r="D41" s="35">
        <f t="shared" si="6"/>
        <v>-4.7942944969069534E-2</v>
      </c>
      <c r="E41" s="35">
        <f t="shared" si="7"/>
        <v>329.26367330928161</v>
      </c>
      <c r="F41" s="33">
        <f t="shared" ref="F41" si="63">E41*60/(2*3.142)</f>
        <v>3143.8288349072086</v>
      </c>
      <c r="G41" s="34">
        <f t="shared" ref="G41" si="64">F41/$D$1</f>
        <v>1.0479429449690696</v>
      </c>
      <c r="H41" s="6"/>
      <c r="I41" s="16"/>
      <c r="J41" s="33"/>
      <c r="K41" s="35">
        <f t="shared" si="2"/>
        <v>22.84936932074233</v>
      </c>
      <c r="L41" s="16">
        <f t="shared" si="3"/>
        <v>20.19598014304389</v>
      </c>
      <c r="M41" s="16">
        <f t="shared" si="4"/>
        <v>19.045349463786224</v>
      </c>
      <c r="N41" s="16">
        <f t="shared" si="10"/>
        <v>19.314575642615466</v>
      </c>
      <c r="O41" s="7"/>
      <c r="P41" s="57">
        <f t="shared" si="14"/>
        <v>-1.0566721824878078</v>
      </c>
      <c r="Q41" s="57">
        <f t="shared" si="11"/>
        <v>7.4785049674789342E-3</v>
      </c>
      <c r="R41" s="62"/>
    </row>
    <row r="42" spans="1:18">
      <c r="A42" s="5">
        <v>28</v>
      </c>
      <c r="B42" s="6">
        <v>0.5</v>
      </c>
      <c r="C42" s="35">
        <f t="shared" si="5"/>
        <v>19.303805259929746</v>
      </c>
      <c r="D42" s="35">
        <f t="shared" si="6"/>
        <v>-4.1165422987431609E-2</v>
      </c>
      <c r="E42" s="35">
        <f t="shared" si="7"/>
        <v>327.13417590265101</v>
      </c>
      <c r="F42" s="33">
        <f t="shared" ref="F42" si="65">E42*60/(2*3.142)</f>
        <v>3123.4962689622948</v>
      </c>
      <c r="G42" s="34">
        <f t="shared" ref="G42" si="66">F42/$D$1</f>
        <v>1.0411654229874316</v>
      </c>
      <c r="H42" s="6"/>
      <c r="I42" s="16"/>
      <c r="J42" s="33"/>
      <c r="K42" s="35">
        <f t="shared" si="2"/>
        <v>23.012029848301641</v>
      </c>
      <c r="L42" s="16">
        <f t="shared" si="3"/>
        <v>20.047784620289139</v>
      </c>
      <c r="M42" s="16">
        <f t="shared" si="4"/>
        <v>19.05981446859078</v>
      </c>
      <c r="N42" s="16">
        <f t="shared" si="10"/>
        <v>19.303805259929746</v>
      </c>
      <c r="O42" s="7"/>
      <c r="P42" s="57">
        <f t="shared" si="14"/>
        <v>-1.0978376054752395</v>
      </c>
      <c r="Q42" s="57">
        <f t="shared" si="11"/>
        <v>6.7775219816379254E-3</v>
      </c>
      <c r="R42" s="62"/>
    </row>
    <row r="43" spans="1:18">
      <c r="A43" s="5">
        <v>29</v>
      </c>
      <c r="B43" s="6">
        <v>0.5</v>
      </c>
      <c r="C43" s="35">
        <f t="shared" si="5"/>
        <v>19.299356732284149</v>
      </c>
      <c r="D43" s="35">
        <f t="shared" si="6"/>
        <v>-3.5068916911203209E-2</v>
      </c>
      <c r="E43" s="35">
        <f t="shared" si="7"/>
        <v>325.21865369350002</v>
      </c>
      <c r="F43" s="33">
        <f t="shared" ref="F43" si="67">E43*60/(2*3.142)</f>
        <v>3105.2067507336096</v>
      </c>
      <c r="G43" s="34">
        <f t="shared" ref="G43" si="68">F43/$D$1</f>
        <v>1.0350689169112033</v>
      </c>
      <c r="H43" s="6"/>
      <c r="I43" s="16"/>
      <c r="J43" s="33"/>
      <c r="K43" s="35">
        <f t="shared" si="2"/>
        <v>23.158345994131125</v>
      </c>
      <c r="L43" s="16">
        <f t="shared" si="3"/>
        <v>19.921536519408807</v>
      </c>
      <c r="M43" s="16">
        <f t="shared" si="4"/>
        <v>19.079882513539928</v>
      </c>
      <c r="N43" s="16">
        <f t="shared" si="10"/>
        <v>19.299356732284149</v>
      </c>
      <c r="O43" s="7"/>
      <c r="P43" s="57">
        <f t="shared" si="14"/>
        <v>-1.1329065223864427</v>
      </c>
      <c r="Q43" s="57">
        <f t="shared" si="11"/>
        <v>6.0965060762284001E-3</v>
      </c>
      <c r="R43" s="62"/>
    </row>
    <row r="44" spans="1:18">
      <c r="A44" s="5">
        <v>30</v>
      </c>
      <c r="B44" s="6">
        <v>0.5</v>
      </c>
      <c r="C44" s="35">
        <f t="shared" si="5"/>
        <v>19.299914885896161</v>
      </c>
      <c r="D44" s="35">
        <f t="shared" si="6"/>
        <v>-2.9624255382326433E-2</v>
      </c>
      <c r="E44" s="35">
        <f t="shared" si="7"/>
        <v>323.50794104112697</v>
      </c>
      <c r="F44" s="33">
        <f t="shared" ref="F44" si="69">E44*60/(2*3.142)</f>
        <v>3088.8727661469793</v>
      </c>
      <c r="G44" s="34">
        <f t="shared" ref="G44" si="70">F44/$D$1</f>
        <v>1.0296242553823265</v>
      </c>
      <c r="H44" s="6"/>
      <c r="I44" s="16"/>
      <c r="J44" s="33"/>
      <c r="K44" s="35">
        <f t="shared" si="2"/>
        <v>23.289017870824164</v>
      </c>
      <c r="L44" s="16">
        <f t="shared" si="3"/>
        <v>19.814889200032432</v>
      </c>
      <c r="M44" s="16">
        <f t="shared" si="4"/>
        <v>19.103907070856597</v>
      </c>
      <c r="N44" s="16">
        <f t="shared" si="10"/>
        <v>19.299914885896161</v>
      </c>
      <c r="O44" s="7"/>
      <c r="P44" s="57">
        <f t="shared" si="14"/>
        <v>-1.1625307777687692</v>
      </c>
      <c r="Q44" s="57">
        <f t="shared" si="11"/>
        <v>5.4446615288767757E-3</v>
      </c>
      <c r="R44" s="62"/>
    </row>
    <row r="45" spans="1:18">
      <c r="A45" s="5">
        <v>31</v>
      </c>
      <c r="B45" s="6">
        <v>0.5</v>
      </c>
      <c r="C45" s="35">
        <f t="shared" si="5"/>
        <v>19.304356410695565</v>
      </c>
      <c r="D45" s="35">
        <f t="shared" si="6"/>
        <v>-2.4795691558185808E-2</v>
      </c>
      <c r="E45" s="35">
        <f t="shared" si="7"/>
        <v>321.99080628758196</v>
      </c>
      <c r="F45" s="33">
        <f t="shared" ref="F45" si="71">E45*60/(2*3.142)</f>
        <v>3074.3870746745574</v>
      </c>
      <c r="G45" s="34">
        <f t="shared" ref="G45" si="72">F45/$D$1</f>
        <v>1.0247956915581857</v>
      </c>
      <c r="H45" s="6"/>
      <c r="I45" s="16"/>
      <c r="J45" s="33"/>
      <c r="K45" s="35">
        <f t="shared" si="2"/>
        <v>23.404903402603541</v>
      </c>
      <c r="L45" s="16">
        <f t="shared" si="3"/>
        <v>19.725624710422963</v>
      </c>
      <c r="M45" s="16">
        <f t="shared" si="4"/>
        <v>19.130528113026504</v>
      </c>
      <c r="N45" s="16">
        <f t="shared" si="10"/>
        <v>19.304356410695565</v>
      </c>
      <c r="O45" s="7"/>
      <c r="P45" s="57">
        <f t="shared" si="14"/>
        <v>-1.187326469326955</v>
      </c>
      <c r="Q45" s="57">
        <f t="shared" si="11"/>
        <v>4.8285638241406248E-3</v>
      </c>
      <c r="R45" s="62"/>
    </row>
    <row r="46" spans="1:18">
      <c r="A46" s="5">
        <v>32</v>
      </c>
      <c r="B46" s="6">
        <v>0.5</v>
      </c>
      <c r="C46" s="35">
        <f t="shared" si="5"/>
        <v>19.311729739740201</v>
      </c>
      <c r="D46" s="35">
        <f t="shared" si="6"/>
        <v>-2.0543079666312074E-2</v>
      </c>
      <c r="E46" s="35">
        <f t="shared" si="7"/>
        <v>320.65463563115526</v>
      </c>
      <c r="F46" s="33">
        <f t="shared" ref="F46" si="73">E46*60/(2*3.142)</f>
        <v>3061.6292389989362</v>
      </c>
      <c r="G46" s="34">
        <f t="shared" ref="G46" si="74">F46/$D$1</f>
        <v>1.020543079666312</v>
      </c>
      <c r="H46" s="6"/>
      <c r="I46" s="16"/>
      <c r="J46" s="33"/>
      <c r="K46" s="35">
        <f t="shared" ref="K46:K77" si="75">D46*$U$2+$D$7</f>
        <v>23.506966088008511</v>
      </c>
      <c r="L46" s="16">
        <f t="shared" ref="L46:L77" si="76">$U$3*P46+$D$7</f>
        <v>19.651669623624237</v>
      </c>
      <c r="M46" s="16">
        <f t="shared" ref="M46:M77" si="77">D46*$U$2+$U$3*P46+$D$7</f>
        <v>19.158635711632748</v>
      </c>
      <c r="N46" s="16">
        <f t="shared" si="10"/>
        <v>19.311729739740201</v>
      </c>
      <c r="O46" s="7"/>
      <c r="P46" s="57">
        <f t="shared" si="14"/>
        <v>-1.2078695489932669</v>
      </c>
      <c r="Q46" s="57">
        <f t="shared" si="11"/>
        <v>4.2526118918737345E-3</v>
      </c>
      <c r="R46" s="62"/>
    </row>
    <row r="47" spans="1:18">
      <c r="A47" s="5">
        <v>33</v>
      </c>
      <c r="B47" s="6">
        <v>0.5</v>
      </c>
      <c r="C47" s="35">
        <f t="shared" si="5"/>
        <v>19.321235958206977</v>
      </c>
      <c r="D47" s="35">
        <f t="shared" si="6"/>
        <v>-1.6823656185605312E-2</v>
      </c>
      <c r="E47" s="35">
        <f t="shared" si="7"/>
        <v>319.48599277351718</v>
      </c>
      <c r="F47" s="33">
        <f t="shared" ref="F47" si="78">E47*60/(2*3.142)</f>
        <v>3050.4709685568159</v>
      </c>
      <c r="G47" s="34">
        <f t="shared" ref="G47" si="79">F47/$D$1</f>
        <v>1.0168236561856052</v>
      </c>
      <c r="H47" s="6"/>
      <c r="I47" s="16"/>
      <c r="J47" s="33"/>
      <c r="K47" s="35">
        <f t="shared" si="75"/>
        <v>23.596232251545473</v>
      </c>
      <c r="L47" s="16">
        <f t="shared" si="76"/>
        <v>19.591104461356061</v>
      </c>
      <c r="M47" s="16">
        <f t="shared" si="77"/>
        <v>19.187336712901534</v>
      </c>
      <c r="N47" s="16">
        <f t="shared" si="10"/>
        <v>19.321235958206977</v>
      </c>
      <c r="O47" s="7"/>
      <c r="P47" s="57">
        <f t="shared" si="14"/>
        <v>-1.2246932051788721</v>
      </c>
      <c r="Q47" s="57">
        <f t="shared" si="11"/>
        <v>3.7194234807067621E-3</v>
      </c>
      <c r="R47" s="62"/>
    </row>
    <row r="48" spans="1:18">
      <c r="A48" s="5">
        <v>34</v>
      </c>
      <c r="B48" s="6">
        <v>0.5</v>
      </c>
      <c r="C48" s="35">
        <f t="shared" si="5"/>
        <v>19.332210895733692</v>
      </c>
      <c r="D48" s="35">
        <f t="shared" si="6"/>
        <v>-1.3593477803524517E-2</v>
      </c>
      <c r="E48" s="35">
        <f t="shared" si="7"/>
        <v>318.47107072586738</v>
      </c>
      <c r="F48" s="33">
        <f t="shared" ref="F48" si="80">E48*60/(2*3.142)</f>
        <v>3040.7804334105736</v>
      </c>
      <c r="G48" s="34">
        <f t="shared" ref="G48" si="81">F48/$D$1</f>
        <v>1.0135934778035245</v>
      </c>
      <c r="H48" s="6"/>
      <c r="I48" s="16"/>
      <c r="J48" s="33"/>
      <c r="K48" s="35">
        <f t="shared" si="75"/>
        <v>23.673756532715412</v>
      </c>
      <c r="L48" s="16">
        <f t="shared" si="76"/>
        <v>19.542167941263372</v>
      </c>
      <c r="M48" s="16">
        <f t="shared" si="77"/>
        <v>19.215924473978784</v>
      </c>
      <c r="N48" s="16">
        <f t="shared" si="10"/>
        <v>19.332210895733692</v>
      </c>
      <c r="O48" s="7"/>
      <c r="P48" s="57">
        <f t="shared" si="14"/>
        <v>-1.2382866829823966</v>
      </c>
      <c r="Q48" s="57">
        <f t="shared" si="11"/>
        <v>3.2301783820807943E-3</v>
      </c>
      <c r="R48" s="62"/>
    </row>
    <row r="49" spans="1:18">
      <c r="A49" s="5">
        <v>35</v>
      </c>
      <c r="B49" s="6">
        <v>0.5</v>
      </c>
      <c r="C49" s="35">
        <f t="shared" si="5"/>
        <v>19.344108497873002</v>
      </c>
      <c r="D49" s="35">
        <f t="shared" si="6"/>
        <v>-1.0808563589893917E-2</v>
      </c>
      <c r="E49" s="35">
        <f t="shared" si="7"/>
        <v>317.59605067994465</v>
      </c>
      <c r="F49" s="33">
        <f t="shared" ref="F49" si="82">E49*60/(2*3.142)</f>
        <v>3032.4256907696818</v>
      </c>
      <c r="G49" s="34">
        <f t="shared" ref="G49" si="83">F49/$D$1</f>
        <v>1.010808563589894</v>
      </c>
      <c r="H49" s="6"/>
      <c r="I49" s="16"/>
      <c r="J49" s="33"/>
      <c r="K49" s="35">
        <f t="shared" si="75"/>
        <v>23.740594473842545</v>
      </c>
      <c r="L49" s="16">
        <f t="shared" si="76"/>
        <v>19.503257112339753</v>
      </c>
      <c r="M49" s="16">
        <f t="shared" si="77"/>
        <v>19.243851586182299</v>
      </c>
      <c r="N49" s="16">
        <f t="shared" si="10"/>
        <v>19.344108497873002</v>
      </c>
      <c r="O49" s="7"/>
      <c r="P49" s="57">
        <f t="shared" si="14"/>
        <v>-1.2490952465722907</v>
      </c>
      <c r="Q49" s="57">
        <f t="shared" si="11"/>
        <v>2.7849142136306005E-3</v>
      </c>
      <c r="R49" s="62"/>
    </row>
    <row r="50" spans="1:18">
      <c r="A50" s="5">
        <v>36</v>
      </c>
      <c r="B50" s="6">
        <v>0.5</v>
      </c>
      <c r="C50" s="35">
        <f t="shared" si="5"/>
        <v>19.35648552558521</v>
      </c>
      <c r="D50" s="35">
        <f t="shared" si="6"/>
        <v>-8.4257842136906524E-3</v>
      </c>
      <c r="E50" s="35">
        <f t="shared" si="7"/>
        <v>316.84738139994158</v>
      </c>
      <c r="F50" s="33">
        <f t="shared" ref="F50:F113" si="84">E50*60/(2*3.142)</f>
        <v>3025.277352641072</v>
      </c>
      <c r="G50" s="34">
        <f t="shared" ref="G50:G113" si="85">F50/$D$1</f>
        <v>1.0084257842136906</v>
      </c>
      <c r="H50" s="6"/>
      <c r="I50" s="16"/>
      <c r="J50" s="33"/>
      <c r="K50" s="35">
        <f t="shared" si="75"/>
        <v>23.797781178871425</v>
      </c>
      <c r="L50" s="16">
        <f t="shared" si="76"/>
        <v>19.472924289170468</v>
      </c>
      <c r="M50" s="16">
        <f t="shared" si="77"/>
        <v>19.270705468041893</v>
      </c>
      <c r="N50" s="16">
        <f t="shared" si="10"/>
        <v>19.35648552558521</v>
      </c>
      <c r="O50" s="7"/>
      <c r="P50" s="57">
        <f t="shared" si="14"/>
        <v>-1.2575210307859812</v>
      </c>
      <c r="Q50" s="57">
        <f t="shared" si="11"/>
        <v>2.3827793762032645E-3</v>
      </c>
      <c r="R50" s="62"/>
    </row>
    <row r="51" spans="1:18">
      <c r="A51" s="5">
        <v>37</v>
      </c>
      <c r="B51" s="6">
        <v>0.5</v>
      </c>
      <c r="C51" s="35">
        <f t="shared" si="5"/>
        <v>19.368987594210417</v>
      </c>
      <c r="D51" s="35">
        <f t="shared" si="6"/>
        <v>-6.4035365825930056E-3</v>
      </c>
      <c r="E51" s="35">
        <f t="shared" si="7"/>
        <v>316.21199119425074</v>
      </c>
      <c r="F51" s="33">
        <f t="shared" si="84"/>
        <v>3019.210609747779</v>
      </c>
      <c r="G51" s="34">
        <f t="shared" si="85"/>
        <v>1.006403536582593</v>
      </c>
      <c r="H51" s="6"/>
      <c r="I51" s="16"/>
      <c r="J51" s="33"/>
      <c r="K51" s="35">
        <f t="shared" si="75"/>
        <v>23.846315122017767</v>
      </c>
      <c r="L51" s="16">
        <f t="shared" si="76"/>
        <v>19.449871557473131</v>
      </c>
      <c r="M51" s="16">
        <f t="shared" si="77"/>
        <v>19.296186679490901</v>
      </c>
      <c r="N51" s="16">
        <f t="shared" si="10"/>
        <v>19.368987594210417</v>
      </c>
      <c r="O51" s="7"/>
      <c r="P51" s="57">
        <f t="shared" si="14"/>
        <v>-1.2639245673685742</v>
      </c>
      <c r="Q51" s="57">
        <f t="shared" si="11"/>
        <v>2.0222476310976468E-3</v>
      </c>
      <c r="R51" s="62"/>
    </row>
    <row r="52" spans="1:18">
      <c r="A52" s="5">
        <v>38</v>
      </c>
      <c r="B52" s="6">
        <v>0.5</v>
      </c>
      <c r="C52" s="35">
        <f t="shared" si="5"/>
        <v>19.381336533998979</v>
      </c>
      <c r="D52" s="35">
        <f t="shared" si="6"/>
        <v>-4.7022380573506174E-3</v>
      </c>
      <c r="E52" s="35">
        <f t="shared" si="7"/>
        <v>315.67744319761954</v>
      </c>
      <c r="F52" s="33">
        <f t="shared" si="84"/>
        <v>3014.1067141720519</v>
      </c>
      <c r="G52" s="34">
        <f t="shared" si="85"/>
        <v>1.0047022380573507</v>
      </c>
      <c r="H52" s="6"/>
      <c r="I52" s="16"/>
      <c r="J52" s="33"/>
      <c r="K52" s="35">
        <f t="shared" si="75"/>
        <v>23.887146286623587</v>
      </c>
      <c r="L52" s="16">
        <f t="shared" si="76"/>
        <v>19.432943500466671</v>
      </c>
      <c r="M52" s="16">
        <f t="shared" si="77"/>
        <v>19.320089787090254</v>
      </c>
      <c r="N52" s="16">
        <f t="shared" si="10"/>
        <v>19.381336533998979</v>
      </c>
      <c r="O52" s="7"/>
      <c r="P52" s="57">
        <f t="shared" si="14"/>
        <v>-1.2686268054259249</v>
      </c>
      <c r="Q52" s="57">
        <f t="shared" si="11"/>
        <v>1.7012985252423882E-3</v>
      </c>
      <c r="R52" s="62"/>
    </row>
    <row r="53" spans="1:18">
      <c r="A53" s="5">
        <v>39</v>
      </c>
      <c r="B53" s="6">
        <v>0.5</v>
      </c>
      <c r="C53" s="35">
        <f t="shared" si="5"/>
        <v>19.393319031789179</v>
      </c>
      <c r="D53" s="35">
        <f t="shared" si="6"/>
        <v>-3.2846704204735032E-3</v>
      </c>
      <c r="E53" s="35">
        <f t="shared" si="7"/>
        <v>315.23204344611275</v>
      </c>
      <c r="F53" s="33">
        <f t="shared" si="84"/>
        <v>3009.8540112614205</v>
      </c>
      <c r="G53" s="34">
        <f t="shared" si="85"/>
        <v>1.0032846704204734</v>
      </c>
      <c r="H53" s="6"/>
      <c r="I53" s="16"/>
      <c r="J53" s="33"/>
      <c r="K53" s="35">
        <f t="shared" si="75"/>
        <v>23.921167909908636</v>
      </c>
      <c r="L53" s="16">
        <f t="shared" si="76"/>
        <v>19.421118686952966</v>
      </c>
      <c r="M53" s="16">
        <f t="shared" si="77"/>
        <v>19.342286596861602</v>
      </c>
      <c r="N53" s="16">
        <f t="shared" si="10"/>
        <v>19.393319031789179</v>
      </c>
      <c r="O53" s="7"/>
      <c r="P53" s="57">
        <f t="shared" si="14"/>
        <v>-1.2719114758463983</v>
      </c>
      <c r="Q53" s="57">
        <f t="shared" si="11"/>
        <v>1.4175676368771142E-3</v>
      </c>
      <c r="R53" s="62"/>
    </row>
    <row r="54" spans="1:18">
      <c r="A54" s="5">
        <v>40</v>
      </c>
      <c r="B54" s="6">
        <v>0.5</v>
      </c>
      <c r="C54" s="35">
        <f t="shared" si="5"/>
        <v>19.404776496738648</v>
      </c>
      <c r="D54" s="35">
        <f t="shared" si="6"/>
        <v>-2.1162000841409281E-3</v>
      </c>
      <c r="E54" s="35">
        <f t="shared" si="7"/>
        <v>314.86491006643706</v>
      </c>
      <c r="F54" s="33">
        <f t="shared" si="84"/>
        <v>3006.3486002524228</v>
      </c>
      <c r="G54" s="34">
        <f t="shared" si="85"/>
        <v>1.0021162000841408</v>
      </c>
      <c r="H54" s="6"/>
      <c r="I54" s="16"/>
      <c r="J54" s="33"/>
      <c r="K54" s="35">
        <f t="shared" si="75"/>
        <v>23.949211197980617</v>
      </c>
      <c r="L54" s="16">
        <f t="shared" si="76"/>
        <v>19.413500366650059</v>
      </c>
      <c r="M54" s="16">
        <f t="shared" si="77"/>
        <v>19.362711564630676</v>
      </c>
      <c r="N54" s="16">
        <f t="shared" si="10"/>
        <v>19.404776496738648</v>
      </c>
      <c r="O54" s="7"/>
      <c r="P54" s="57">
        <f t="shared" si="14"/>
        <v>-1.2740276759305391</v>
      </c>
      <c r="Q54" s="57">
        <f t="shared" si="11"/>
        <v>1.1684703363325751E-3</v>
      </c>
      <c r="R54" s="62"/>
    </row>
    <row r="55" spans="1:18">
      <c r="A55" s="5">
        <v>41</v>
      </c>
      <c r="B55" s="6">
        <v>1</v>
      </c>
      <c r="C55" s="35">
        <f t="shared" si="5"/>
        <v>21.559962950796255</v>
      </c>
      <c r="D55" s="35">
        <f t="shared" si="6"/>
        <v>3.2551562596181159E-2</v>
      </c>
      <c r="E55" s="35">
        <f t="shared" si="7"/>
        <v>303.97229903227986</v>
      </c>
      <c r="F55" s="33">
        <f t="shared" si="84"/>
        <v>2902.3453122114565</v>
      </c>
      <c r="G55" s="34">
        <f t="shared" si="85"/>
        <v>0.96744843740381881</v>
      </c>
      <c r="H55" s="6"/>
      <c r="I55" s="16"/>
      <c r="J55" s="33"/>
      <c r="K55" s="35">
        <f t="shared" si="75"/>
        <v>24.781237502308347</v>
      </c>
      <c r="L55" s="16">
        <f t="shared" si="76"/>
        <v>19.530685991996311</v>
      </c>
      <c r="M55" s="16">
        <f t="shared" si="77"/>
        <v>20.311923494304658</v>
      </c>
      <c r="N55" s="16">
        <f t="shared" si="10"/>
        <v>21.559962950796255</v>
      </c>
      <c r="O55" s="7"/>
      <c r="P55" s="57">
        <f t="shared" si="14"/>
        <v>-1.2414761133343579</v>
      </c>
      <c r="Q55" s="57">
        <f t="shared" si="11"/>
        <v>3.4667762680322088E-2</v>
      </c>
      <c r="R55" s="62"/>
    </row>
    <row r="56" spans="1:18">
      <c r="A56" s="5">
        <v>42</v>
      </c>
      <c r="B56" s="6">
        <v>1</v>
      </c>
      <c r="C56" s="35">
        <f t="shared" si="5"/>
        <v>21.359175169241926</v>
      </c>
      <c r="D56" s="35">
        <f t="shared" si="6"/>
        <v>4.7175242621197107E-2</v>
      </c>
      <c r="E56" s="35">
        <f t="shared" si="7"/>
        <v>299.37753876841987</v>
      </c>
      <c r="F56" s="33">
        <f t="shared" si="84"/>
        <v>2858.4742721364087</v>
      </c>
      <c r="G56" s="34">
        <f t="shared" si="85"/>
        <v>0.9528247573788029</v>
      </c>
      <c r="H56" s="6"/>
      <c r="I56" s="16"/>
      <c r="J56" s="33"/>
      <c r="K56" s="35">
        <f t="shared" si="75"/>
        <v>25.13220582290873</v>
      </c>
      <c r="L56" s="16">
        <f t="shared" si="76"/>
        <v>19.700516865432622</v>
      </c>
      <c r="M56" s="16">
        <f t="shared" si="77"/>
        <v>20.832722688341352</v>
      </c>
      <c r="N56" s="16">
        <f t="shared" si="10"/>
        <v>21.359175169241926</v>
      </c>
      <c r="O56" s="7"/>
      <c r="P56" s="57">
        <f t="shared" si="14"/>
        <v>-1.1943008707131608</v>
      </c>
      <c r="Q56" s="57">
        <f t="shared" si="11"/>
        <v>1.4623680025015948E-2</v>
      </c>
      <c r="R56" s="62"/>
    </row>
    <row r="57" spans="1:18">
      <c r="A57" s="5">
        <v>43</v>
      </c>
      <c r="B57" s="6">
        <v>1</v>
      </c>
      <c r="C57" s="35">
        <f t="shared" si="5"/>
        <v>21.923771754085621</v>
      </c>
      <c r="D57" s="35">
        <f t="shared" si="6"/>
        <v>6.1659805393334863E-2</v>
      </c>
      <c r="E57" s="35">
        <f t="shared" si="7"/>
        <v>294.8264891454142</v>
      </c>
      <c r="F57" s="33">
        <f t="shared" si="84"/>
        <v>2815.0205838199954</v>
      </c>
      <c r="G57" s="34">
        <f t="shared" si="85"/>
        <v>0.93834019460666518</v>
      </c>
      <c r="H57" s="6"/>
      <c r="I57" s="16"/>
      <c r="J57" s="33"/>
      <c r="K57" s="35">
        <f t="shared" si="75"/>
        <v>25.479835329440036</v>
      </c>
      <c r="L57" s="16">
        <f t="shared" si="76"/>
        <v>19.922492164848627</v>
      </c>
      <c r="M57" s="16">
        <f t="shared" si="77"/>
        <v>21.402327494288663</v>
      </c>
      <c r="N57" s="16">
        <f t="shared" si="10"/>
        <v>21.923771754085621</v>
      </c>
      <c r="O57" s="7"/>
      <c r="P57" s="57">
        <f t="shared" si="14"/>
        <v>-1.132641065319826</v>
      </c>
      <c r="Q57" s="57">
        <f t="shared" si="11"/>
        <v>1.4484562772137756E-2</v>
      </c>
      <c r="R57" s="62"/>
    </row>
    <row r="58" spans="1:18">
      <c r="A58" s="5">
        <v>44</v>
      </c>
      <c r="B58" s="6">
        <v>1</v>
      </c>
      <c r="C58" s="35">
        <f t="shared" si="5"/>
        <v>22.172941995084553</v>
      </c>
      <c r="D58" s="35">
        <f t="shared" si="6"/>
        <v>7.0286207930754394E-2</v>
      </c>
      <c r="E58" s="35">
        <f t="shared" si="7"/>
        <v>292.11607346815697</v>
      </c>
      <c r="F58" s="33">
        <f t="shared" si="84"/>
        <v>2789.1413762077368</v>
      </c>
      <c r="G58" s="34">
        <f t="shared" si="85"/>
        <v>0.92971379206924565</v>
      </c>
      <c r="H58" s="6"/>
      <c r="I58" s="16"/>
      <c r="J58" s="33"/>
      <c r="K58" s="35">
        <f t="shared" si="75"/>
        <v>25.686868990338105</v>
      </c>
      <c r="L58" s="16">
        <f t="shared" si="76"/>
        <v>20.175522513399343</v>
      </c>
      <c r="M58" s="16">
        <f t="shared" si="77"/>
        <v>21.862391503737449</v>
      </c>
      <c r="N58" s="16">
        <f t="shared" si="10"/>
        <v>22.172941995084553</v>
      </c>
      <c r="O58" s="7"/>
      <c r="P58" s="57">
        <f t="shared" si="14"/>
        <v>-1.0623548573890715</v>
      </c>
      <c r="Q58" s="57">
        <f t="shared" si="11"/>
        <v>8.6264025374195308E-3</v>
      </c>
      <c r="R58" s="62"/>
    </row>
    <row r="59" spans="1:18">
      <c r="A59" s="5">
        <v>45</v>
      </c>
      <c r="B59" s="6">
        <v>1</v>
      </c>
      <c r="C59" s="35">
        <f t="shared" si="5"/>
        <v>22.483664389941527</v>
      </c>
      <c r="D59" s="35">
        <f t="shared" si="6"/>
        <v>7.6076184937882776E-2</v>
      </c>
      <c r="E59" s="35">
        <f t="shared" si="7"/>
        <v>290.29686269251727</v>
      </c>
      <c r="F59" s="33">
        <f t="shared" si="84"/>
        <v>2771.7714451863517</v>
      </c>
      <c r="G59" s="34">
        <f t="shared" si="85"/>
        <v>0.92392381506211718</v>
      </c>
      <c r="H59" s="6"/>
      <c r="I59" s="16"/>
      <c r="J59" s="33"/>
      <c r="K59" s="35">
        <f t="shared" si="75"/>
        <v>25.825828438509188</v>
      </c>
      <c r="L59" s="16">
        <f t="shared" si="76"/>
        <v>20.449396779175721</v>
      </c>
      <c r="M59" s="16">
        <f t="shared" si="77"/>
        <v>22.275225217684905</v>
      </c>
      <c r="N59" s="16">
        <f t="shared" si="10"/>
        <v>22.483664389941527</v>
      </c>
      <c r="O59" s="7"/>
      <c r="P59" s="57">
        <f t="shared" si="14"/>
        <v>-0.98627867245118872</v>
      </c>
      <c r="Q59" s="57">
        <f t="shared" si="11"/>
        <v>5.7899770071283829E-3</v>
      </c>
      <c r="R59" s="62"/>
    </row>
    <row r="60" spans="1:18">
      <c r="A60" s="5">
        <v>46</v>
      </c>
      <c r="B60" s="6">
        <v>1</v>
      </c>
      <c r="C60" s="35">
        <f t="shared" si="5"/>
        <v>22.727888613953169</v>
      </c>
      <c r="D60" s="35">
        <f t="shared" si="6"/>
        <v>7.8887334788384125E-2</v>
      </c>
      <c r="E60" s="35">
        <f t="shared" si="7"/>
        <v>289.41359940948968</v>
      </c>
      <c r="F60" s="33">
        <f t="shared" si="84"/>
        <v>2763.3379956348476</v>
      </c>
      <c r="G60" s="34">
        <f t="shared" si="85"/>
        <v>0.92111266521161583</v>
      </c>
      <c r="H60" s="6"/>
      <c r="I60" s="16"/>
      <c r="J60" s="33"/>
      <c r="K60" s="35">
        <f t="shared" si="75"/>
        <v>25.893296034921221</v>
      </c>
      <c r="L60" s="16">
        <f t="shared" si="76"/>
        <v>20.733391184413904</v>
      </c>
      <c r="M60" s="16">
        <f t="shared" si="77"/>
        <v>22.626687219335121</v>
      </c>
      <c r="N60" s="16">
        <f t="shared" si="10"/>
        <v>22.727888613953169</v>
      </c>
      <c r="O60" s="7"/>
      <c r="P60" s="57">
        <f t="shared" si="14"/>
        <v>-0.90739133766280455</v>
      </c>
      <c r="Q60" s="57">
        <f t="shared" si="11"/>
        <v>2.8111498505013488E-3</v>
      </c>
      <c r="R60" s="62"/>
    </row>
    <row r="61" spans="1:18">
      <c r="A61" s="5">
        <v>47</v>
      </c>
      <c r="B61" s="6">
        <v>1</v>
      </c>
      <c r="C61" s="35">
        <f t="shared" si="5"/>
        <v>22.952997780887106</v>
      </c>
      <c r="D61" s="35">
        <f t="shared" si="6"/>
        <v>7.9552683158097964E-2</v>
      </c>
      <c r="E61" s="35">
        <f t="shared" si="7"/>
        <v>289.2045469517256</v>
      </c>
      <c r="F61" s="33">
        <f t="shared" si="84"/>
        <v>2761.3419505257061</v>
      </c>
      <c r="G61" s="34">
        <f t="shared" si="85"/>
        <v>0.92044731684190206</v>
      </c>
      <c r="H61" s="6"/>
      <c r="I61" s="16"/>
      <c r="J61" s="33"/>
      <c r="K61" s="35">
        <f t="shared" si="75"/>
        <v>25.909264395794352</v>
      </c>
      <c r="L61" s="16">
        <f t="shared" si="76"/>
        <v>21.019780843783057</v>
      </c>
      <c r="M61" s="16">
        <f t="shared" si="77"/>
        <v>22.929045239577409</v>
      </c>
      <c r="N61" s="16">
        <f t="shared" si="10"/>
        <v>22.952997780887106</v>
      </c>
      <c r="O61" s="7"/>
      <c r="P61" s="57">
        <f t="shared" si="14"/>
        <v>-0.82783865450470662</v>
      </c>
      <c r="Q61" s="57">
        <f t="shared" si="11"/>
        <v>6.6534836971383904E-4</v>
      </c>
      <c r="R61" s="62"/>
    </row>
    <row r="62" spans="1:18">
      <c r="A62" s="5">
        <v>48</v>
      </c>
      <c r="B62" s="6">
        <v>1</v>
      </c>
      <c r="C62" s="35">
        <f t="shared" si="5"/>
        <v>23.145724854231315</v>
      </c>
      <c r="D62" s="35">
        <f t="shared" si="6"/>
        <v>7.8456613272638157E-2</v>
      </c>
      <c r="E62" s="35">
        <f t="shared" si="7"/>
        <v>289.54893210973711</v>
      </c>
      <c r="F62" s="33">
        <f t="shared" si="84"/>
        <v>2764.6301601820855</v>
      </c>
      <c r="G62" s="34">
        <f t="shared" si="85"/>
        <v>0.9215433867273618</v>
      </c>
      <c r="H62" s="6"/>
      <c r="I62" s="16"/>
      <c r="J62" s="33"/>
      <c r="K62" s="35">
        <f t="shared" si="75"/>
        <v>25.882958718543314</v>
      </c>
      <c r="L62" s="16">
        <f t="shared" si="76"/>
        <v>21.302224651564554</v>
      </c>
      <c r="M62" s="16">
        <f t="shared" si="77"/>
        <v>23.185183370107868</v>
      </c>
      <c r="N62" s="16">
        <f t="shared" si="10"/>
        <v>23.145724854231315</v>
      </c>
      <c r="O62" s="7"/>
      <c r="P62" s="57">
        <f t="shared" si="14"/>
        <v>-0.74938204123206842</v>
      </c>
      <c r="Q62" s="57">
        <f t="shared" si="11"/>
        <v>-1.0960698854598078E-3</v>
      </c>
      <c r="R62" s="62"/>
    </row>
    <row r="63" spans="1:18">
      <c r="A63" s="5">
        <v>49</v>
      </c>
      <c r="B63" s="6">
        <v>1</v>
      </c>
      <c r="C63" s="35">
        <f t="shared" si="5"/>
        <v>23.313912263903134</v>
      </c>
      <c r="D63" s="35">
        <f t="shared" si="6"/>
        <v>7.6039712109332566E-2</v>
      </c>
      <c r="E63" s="35">
        <f t="shared" si="7"/>
        <v>290.30832245524766</v>
      </c>
      <c r="F63" s="33">
        <f t="shared" si="84"/>
        <v>2771.8808636720023</v>
      </c>
      <c r="G63" s="34">
        <f t="shared" si="85"/>
        <v>0.92396028789066742</v>
      </c>
      <c r="H63" s="6"/>
      <c r="I63" s="16"/>
      <c r="J63" s="33"/>
      <c r="K63" s="35">
        <f t="shared" si="75"/>
        <v>25.824953090623982</v>
      </c>
      <c r="L63" s="16">
        <f t="shared" si="76"/>
        <v>21.575967615158152</v>
      </c>
      <c r="M63" s="16">
        <f t="shared" si="77"/>
        <v>23.400920705782134</v>
      </c>
      <c r="N63" s="16">
        <f t="shared" si="10"/>
        <v>23.313912263903134</v>
      </c>
      <c r="O63" s="7"/>
      <c r="P63" s="57">
        <f t="shared" si="14"/>
        <v>-0.67334232912273584</v>
      </c>
      <c r="Q63" s="57">
        <f t="shared" si="11"/>
        <v>-2.4169011633055903E-3</v>
      </c>
      <c r="R63" s="62"/>
    </row>
    <row r="64" spans="1:18">
      <c r="A64" s="5">
        <v>50</v>
      </c>
      <c r="B64" s="6">
        <v>1</v>
      </c>
      <c r="C64" s="35">
        <f t="shared" si="5"/>
        <v>23.458078829287192</v>
      </c>
      <c r="D64" s="35">
        <f t="shared" si="6"/>
        <v>7.2634290095361848E-2</v>
      </c>
      <c r="E64" s="35">
        <f t="shared" si="7"/>
        <v>291.37830605203732</v>
      </c>
      <c r="F64" s="33">
        <f t="shared" si="84"/>
        <v>2782.0971297139145</v>
      </c>
      <c r="G64" s="34">
        <f t="shared" si="85"/>
        <v>0.92736570990463818</v>
      </c>
      <c r="H64" s="6"/>
      <c r="I64" s="16"/>
      <c r="J64" s="33"/>
      <c r="K64" s="35">
        <f t="shared" si="75"/>
        <v>25.743222962288684</v>
      </c>
      <c r="L64" s="16">
        <f t="shared" si="76"/>
        <v>21.837451059501454</v>
      </c>
      <c r="M64" s="16">
        <f t="shared" si="77"/>
        <v>23.580674021790138</v>
      </c>
      <c r="N64" s="16">
        <f t="shared" si="10"/>
        <v>23.458078829287192</v>
      </c>
      <c r="O64" s="7"/>
      <c r="P64" s="57">
        <f t="shared" si="14"/>
        <v>-0.60070803902737402</v>
      </c>
      <c r="Q64" s="57">
        <f t="shared" si="11"/>
        <v>-3.4054220139707186E-3</v>
      </c>
      <c r="R64" s="62"/>
    </row>
    <row r="65" spans="1:18">
      <c r="A65" s="5">
        <v>51</v>
      </c>
      <c r="B65" s="6">
        <v>1</v>
      </c>
      <c r="C65" s="35">
        <f t="shared" si="5"/>
        <v>23.58121509396527</v>
      </c>
      <c r="D65" s="35">
        <f t="shared" si="6"/>
        <v>6.8531422608440917E-2</v>
      </c>
      <c r="E65" s="35">
        <f t="shared" si="7"/>
        <v>292.66742701642784</v>
      </c>
      <c r="F65" s="33">
        <f t="shared" si="84"/>
        <v>2794.4057321746773</v>
      </c>
      <c r="G65" s="34">
        <f t="shared" si="85"/>
        <v>0.93146857739155908</v>
      </c>
      <c r="H65" s="6"/>
      <c r="I65" s="16"/>
      <c r="J65" s="33"/>
      <c r="K65" s="35">
        <f t="shared" si="75"/>
        <v>25.644754142602583</v>
      </c>
      <c r="L65" s="16">
        <f t="shared" si="76"/>
        <v>22.08416418089184</v>
      </c>
      <c r="M65" s="16">
        <f t="shared" si="77"/>
        <v>23.728918323494423</v>
      </c>
      <c r="N65" s="16">
        <f t="shared" si="10"/>
        <v>23.58121509396527</v>
      </c>
      <c r="O65" s="7"/>
      <c r="P65" s="57">
        <f t="shared" si="14"/>
        <v>-0.5321766164189331</v>
      </c>
      <c r="Q65" s="57">
        <f t="shared" si="11"/>
        <v>-4.1028674869209303E-3</v>
      </c>
      <c r="R65" s="62"/>
    </row>
    <row r="66" spans="1:18">
      <c r="A66" s="5">
        <v>52</v>
      </c>
      <c r="B66" s="6">
        <v>1</v>
      </c>
      <c r="C66" s="35">
        <f t="shared" si="5"/>
        <v>23.685338288320402</v>
      </c>
      <c r="D66" s="35">
        <f t="shared" si="6"/>
        <v>6.3967064800824425E-2</v>
      </c>
      <c r="E66" s="35">
        <f t="shared" si="7"/>
        <v>294.10154823958095</v>
      </c>
      <c r="F66" s="33">
        <f t="shared" si="84"/>
        <v>2808.0988055975267</v>
      </c>
      <c r="G66" s="34">
        <f t="shared" si="85"/>
        <v>0.93603293519917563</v>
      </c>
      <c r="H66" s="6"/>
      <c r="I66" s="16"/>
      <c r="J66" s="33"/>
      <c r="K66" s="35">
        <f t="shared" si="75"/>
        <v>25.535209555219787</v>
      </c>
      <c r="L66" s="16">
        <f t="shared" si="76"/>
        <v>22.314445614174808</v>
      </c>
      <c r="M66" s="16">
        <f t="shared" si="77"/>
        <v>23.849655169394595</v>
      </c>
      <c r="N66" s="16">
        <f t="shared" si="10"/>
        <v>23.685338288320402</v>
      </c>
      <c r="O66" s="7"/>
      <c r="P66" s="57">
        <f t="shared" si="14"/>
        <v>-0.46820955161810868</v>
      </c>
      <c r="Q66" s="57">
        <f t="shared" si="11"/>
        <v>-4.5643578076164926E-3</v>
      </c>
      <c r="R66" s="62"/>
    </row>
    <row r="67" spans="1:18">
      <c r="A67" s="5">
        <v>53</v>
      </c>
      <c r="B67" s="6">
        <v>1</v>
      </c>
      <c r="C67" s="35">
        <f t="shared" si="5"/>
        <v>23.772651565362541</v>
      </c>
      <c r="D67" s="35">
        <f t="shared" si="6"/>
        <v>5.9135539056877559E-2</v>
      </c>
      <c r="E67" s="35">
        <f t="shared" si="7"/>
        <v>295.61961362832903</v>
      </c>
      <c r="F67" s="33">
        <f t="shared" si="84"/>
        <v>2822.5933828293673</v>
      </c>
      <c r="G67" s="34">
        <f t="shared" si="85"/>
        <v>0.94086446094312248</v>
      </c>
      <c r="H67" s="6"/>
      <c r="I67" s="16"/>
      <c r="J67" s="33"/>
      <c r="K67" s="35">
        <f t="shared" si="75"/>
        <v>25.419252937365062</v>
      </c>
      <c r="L67" s="16">
        <f t="shared" si="76"/>
        <v>22.527333554779567</v>
      </c>
      <c r="M67" s="16">
        <f t="shared" si="77"/>
        <v>23.946586492144629</v>
      </c>
      <c r="N67" s="16">
        <f t="shared" si="10"/>
        <v>23.772651565362541</v>
      </c>
      <c r="O67" s="7"/>
      <c r="P67" s="57">
        <f t="shared" si="14"/>
        <v>-0.4090740125612311</v>
      </c>
      <c r="Q67" s="57">
        <f t="shared" si="11"/>
        <v>-4.8315257439468656E-3</v>
      </c>
      <c r="R67" s="62"/>
    </row>
    <row r="68" spans="1:18">
      <c r="A68" s="5">
        <v>54</v>
      </c>
      <c r="B68" s="6">
        <v>1</v>
      </c>
      <c r="C68" s="35">
        <f t="shared" si="5"/>
        <v>23.845117563758489</v>
      </c>
      <c r="D68" s="35">
        <f t="shared" si="6"/>
        <v>5.419282099098291E-2</v>
      </c>
      <c r="E68" s="35">
        <f t="shared" si="7"/>
        <v>297.17261564463314</v>
      </c>
      <c r="F68" s="33">
        <f t="shared" si="84"/>
        <v>2837.4215370270513</v>
      </c>
      <c r="G68" s="34">
        <f t="shared" si="85"/>
        <v>0.94580717900901712</v>
      </c>
      <c r="H68" s="6"/>
      <c r="I68" s="16"/>
      <c r="J68" s="33"/>
      <c r="K68" s="35">
        <f t="shared" si="75"/>
        <v>25.30062770378359</v>
      </c>
      <c r="L68" s="16">
        <f t="shared" si="76"/>
        <v>22.722427710347105</v>
      </c>
      <c r="M68" s="16">
        <f t="shared" si="77"/>
        <v>24.023055414130695</v>
      </c>
      <c r="N68" s="16">
        <f t="shared" si="10"/>
        <v>23.845117563758489</v>
      </c>
      <c r="O68" s="7"/>
      <c r="P68" s="57">
        <f t="shared" si="14"/>
        <v>-0.35488119157024822</v>
      </c>
      <c r="Q68" s="57">
        <f t="shared" si="11"/>
        <v>-4.9427180658946496E-3</v>
      </c>
      <c r="R68" s="62"/>
    </row>
    <row r="69" spans="1:18">
      <c r="A69" s="5">
        <v>55</v>
      </c>
      <c r="B69" s="6">
        <v>1</v>
      </c>
      <c r="C69" s="35">
        <f t="shared" si="5"/>
        <v>23.904590773343227</v>
      </c>
      <c r="D69" s="35">
        <f t="shared" si="6"/>
        <v>4.9262651236973397E-2</v>
      </c>
      <c r="E69" s="35">
        <f t="shared" si="7"/>
        <v>298.72167498134297</v>
      </c>
      <c r="F69" s="33">
        <f t="shared" si="84"/>
        <v>2852.2120462890798</v>
      </c>
      <c r="G69" s="34">
        <f t="shared" si="85"/>
        <v>0.95073734876302662</v>
      </c>
      <c r="H69" s="6"/>
      <c r="I69" s="16"/>
      <c r="J69" s="33"/>
      <c r="K69" s="35">
        <f t="shared" si="75"/>
        <v>25.182303629687361</v>
      </c>
      <c r="L69" s="16">
        <f t="shared" si="76"/>
        <v>22.899773254800209</v>
      </c>
      <c r="M69" s="16">
        <f t="shared" si="77"/>
        <v>24.08207688448757</v>
      </c>
      <c r="N69" s="16">
        <f t="shared" si="10"/>
        <v>23.904590773343227</v>
      </c>
      <c r="O69" s="7"/>
      <c r="P69" s="57">
        <f t="shared" si="14"/>
        <v>-0.30561854033327485</v>
      </c>
      <c r="Q69" s="57">
        <f t="shared" si="11"/>
        <v>-4.9301697540095127E-3</v>
      </c>
      <c r="R69" s="62"/>
    </row>
    <row r="70" spans="1:18">
      <c r="A70" s="5">
        <v>56</v>
      </c>
      <c r="B70" s="6">
        <v>1</v>
      </c>
      <c r="C70" s="35">
        <f t="shared" si="5"/>
        <v>23.952763412578516</v>
      </c>
      <c r="D70" s="35">
        <f t="shared" si="6"/>
        <v>4.4440968589769606E-2</v>
      </c>
      <c r="E70" s="35">
        <f t="shared" si="7"/>
        <v>300.23664766909434</v>
      </c>
      <c r="F70" s="33">
        <f t="shared" si="84"/>
        <v>2866.6770942306912</v>
      </c>
      <c r="G70" s="34">
        <f t="shared" si="85"/>
        <v>0.95555903141023035</v>
      </c>
      <c r="H70" s="6"/>
      <c r="I70" s="16"/>
      <c r="J70" s="33"/>
      <c r="K70" s="35">
        <f t="shared" si="75"/>
        <v>25.066583246154472</v>
      </c>
      <c r="L70" s="16">
        <f t="shared" si="76"/>
        <v>23.05976074172338</v>
      </c>
      <c r="M70" s="16">
        <f t="shared" si="77"/>
        <v>24.126343987877853</v>
      </c>
      <c r="N70" s="16">
        <f t="shared" si="10"/>
        <v>23.952763412578516</v>
      </c>
      <c r="O70" s="7"/>
      <c r="P70" s="57">
        <f t="shared" si="14"/>
        <v>-0.26117757174350525</v>
      </c>
      <c r="Q70" s="57">
        <f t="shared" si="11"/>
        <v>-4.8216826472037913E-3</v>
      </c>
      <c r="R70" s="62"/>
    </row>
    <row r="71" spans="1:18">
      <c r="A71" s="5">
        <v>57</v>
      </c>
      <c r="B71" s="6">
        <v>1</v>
      </c>
      <c r="C71" s="35">
        <f t="shared" si="5"/>
        <v>23.991181799831949</v>
      </c>
      <c r="D71" s="35">
        <f t="shared" si="6"/>
        <v>3.980025042987851E-2</v>
      </c>
      <c r="E71" s="35">
        <f t="shared" si="7"/>
        <v>301.69476131493218</v>
      </c>
      <c r="F71" s="33">
        <f t="shared" si="84"/>
        <v>2880.5992487103645</v>
      </c>
      <c r="G71" s="34">
        <f t="shared" si="85"/>
        <v>0.96019974957012144</v>
      </c>
      <c r="H71" s="6"/>
      <c r="I71" s="16"/>
      <c r="J71" s="33"/>
      <c r="K71" s="35">
        <f t="shared" si="75"/>
        <v>24.955206010317085</v>
      </c>
      <c r="L71" s="16">
        <f t="shared" si="76"/>
        <v>23.203041643270943</v>
      </c>
      <c r="M71" s="16">
        <f t="shared" si="77"/>
        <v>24.158247653588028</v>
      </c>
      <c r="N71" s="16">
        <f t="shared" si="10"/>
        <v>23.991181799831949</v>
      </c>
      <c r="O71" s="7"/>
      <c r="P71" s="57">
        <f t="shared" si="14"/>
        <v>-0.22137732131362675</v>
      </c>
      <c r="Q71" s="57">
        <f t="shared" si="11"/>
        <v>-4.6407181598910954E-3</v>
      </c>
      <c r="R71" s="62"/>
    </row>
    <row r="72" spans="1:18">
      <c r="A72" s="5">
        <v>58</v>
      </c>
      <c r="B72" s="6">
        <v>1</v>
      </c>
      <c r="C72" s="35">
        <f t="shared" si="5"/>
        <v>24.021242861786273</v>
      </c>
      <c r="D72" s="35">
        <f t="shared" si="6"/>
        <v>3.539324267281381E-2</v>
      </c>
      <c r="E72" s="35">
        <f t="shared" si="7"/>
        <v>303.07944315220186</v>
      </c>
      <c r="F72" s="33">
        <f t="shared" si="84"/>
        <v>2893.8202719815586</v>
      </c>
      <c r="G72" s="34">
        <f t="shared" si="85"/>
        <v>0.96460675732718615</v>
      </c>
      <c r="H72" s="6"/>
      <c r="I72" s="16"/>
      <c r="J72" s="33"/>
      <c r="K72" s="35">
        <f t="shared" si="75"/>
        <v>24.849437824147532</v>
      </c>
      <c r="L72" s="16">
        <f t="shared" si="76"/>
        <v>23.330457316893074</v>
      </c>
      <c r="M72" s="16">
        <f t="shared" si="77"/>
        <v>24.179895141040603</v>
      </c>
      <c r="N72" s="16">
        <f t="shared" si="10"/>
        <v>24.021242861786273</v>
      </c>
      <c r="O72" s="7"/>
      <c r="P72" s="57">
        <f t="shared" si="14"/>
        <v>-0.18598407864081296</v>
      </c>
      <c r="Q72" s="57">
        <f t="shared" si="11"/>
        <v>-4.4070077570647001E-3</v>
      </c>
      <c r="R72" s="62"/>
    </row>
    <row r="73" spans="1:18">
      <c r="A73" s="5">
        <v>59</v>
      </c>
      <c r="B73" s="6">
        <v>1</v>
      </c>
      <c r="C73" s="35">
        <f t="shared" si="5"/>
        <v>24.044201049336863</v>
      </c>
      <c r="D73" s="35">
        <f t="shared" si="6"/>
        <v>3.1256296677123978E-2</v>
      </c>
      <c r="E73" s="35">
        <f t="shared" si="7"/>
        <v>304.37927158404761</v>
      </c>
      <c r="F73" s="33">
        <f t="shared" si="84"/>
        <v>2906.2311099686281</v>
      </c>
      <c r="G73" s="34">
        <f t="shared" si="85"/>
        <v>0.96874370332287607</v>
      </c>
      <c r="H73" s="6"/>
      <c r="I73" s="16"/>
      <c r="J73" s="33"/>
      <c r="K73" s="35">
        <f t="shared" si="75"/>
        <v>24.750151120250976</v>
      </c>
      <c r="L73" s="16">
        <f t="shared" si="76"/>
        <v>23.442979984930719</v>
      </c>
      <c r="M73" s="16">
        <f t="shared" si="77"/>
        <v>24.193131105181696</v>
      </c>
      <c r="N73" s="16">
        <f t="shared" si="10"/>
        <v>24.044201049336863</v>
      </c>
      <c r="O73" s="7"/>
      <c r="P73" s="57">
        <f t="shared" si="14"/>
        <v>-0.15472778196368897</v>
      </c>
      <c r="Q73" s="57">
        <f t="shared" si="11"/>
        <v>-4.1369459956898322E-3</v>
      </c>
      <c r="R73" s="62"/>
    </row>
    <row r="74" spans="1:18">
      <c r="A74" s="5">
        <v>60</v>
      </c>
      <c r="B74" s="6">
        <v>1</v>
      </c>
      <c r="C74" s="35">
        <f t="shared" si="5"/>
        <v>24.061174268393071</v>
      </c>
      <c r="D74" s="35">
        <f t="shared" si="6"/>
        <v>2.7412279305641732E-2</v>
      </c>
      <c r="E74" s="35">
        <f t="shared" si="7"/>
        <v>305.58706184216737</v>
      </c>
      <c r="F74" s="33">
        <f t="shared" si="84"/>
        <v>2917.7631620830748</v>
      </c>
      <c r="G74" s="34">
        <f t="shared" si="85"/>
        <v>0.97258772069435828</v>
      </c>
      <c r="H74" s="6"/>
      <c r="I74" s="16"/>
      <c r="J74" s="33"/>
      <c r="K74" s="35">
        <f t="shared" si="75"/>
        <v>24.657894703335401</v>
      </c>
      <c r="L74" s="16">
        <f t="shared" si="76"/>
        <v>23.541664190431028</v>
      </c>
      <c r="M74" s="16">
        <f t="shared" si="77"/>
        <v>24.199558893766433</v>
      </c>
      <c r="N74" s="16">
        <f t="shared" si="10"/>
        <v>24.061174268393071</v>
      </c>
      <c r="O74" s="7"/>
      <c r="P74" s="57">
        <f t="shared" si="14"/>
        <v>-0.12731550265804725</v>
      </c>
      <c r="Q74" s="57">
        <f t="shared" si="11"/>
        <v>-3.8440173714822459E-3</v>
      </c>
      <c r="R74" s="62"/>
    </row>
    <row r="75" spans="1:18">
      <c r="A75" s="5">
        <v>61</v>
      </c>
      <c r="B75" s="6">
        <v>1</v>
      </c>
      <c r="C75" s="35">
        <f t="shared" si="5"/>
        <v>24.073152026407008</v>
      </c>
      <c r="D75" s="35">
        <f t="shared" si="6"/>
        <v>2.387311149338181E-2</v>
      </c>
      <c r="E75" s="35">
        <f t="shared" si="7"/>
        <v>306.69906836877942</v>
      </c>
      <c r="F75" s="33">
        <f t="shared" si="84"/>
        <v>2928.3806655198546</v>
      </c>
      <c r="G75" s="34">
        <f t="shared" si="85"/>
        <v>0.97612688850661822</v>
      </c>
      <c r="H75" s="6"/>
      <c r="I75" s="16"/>
      <c r="J75" s="33"/>
      <c r="K75" s="35">
        <f t="shared" si="75"/>
        <v>24.572954675841164</v>
      </c>
      <c r="L75" s="16">
        <f t="shared" si="76"/>
        <v>23.627607391807203</v>
      </c>
      <c r="M75" s="16">
        <f t="shared" si="77"/>
        <v>24.200562067648367</v>
      </c>
      <c r="N75" s="16">
        <f t="shared" si="10"/>
        <v>24.073152026407008</v>
      </c>
      <c r="O75" s="7"/>
      <c r="P75" s="57">
        <f t="shared" si="14"/>
        <v>-0.10344239116466544</v>
      </c>
      <c r="Q75" s="57">
        <f t="shared" si="11"/>
        <v>-3.5391678122599218E-3</v>
      </c>
      <c r="R75" s="62"/>
    </row>
    <row r="76" spans="1:18">
      <c r="A76" s="5">
        <v>62</v>
      </c>
      <c r="B76" s="6">
        <v>1</v>
      </c>
      <c r="C76" s="35">
        <f t="shared" si="5"/>
        <v>24.081004064071895</v>
      </c>
      <c r="D76" s="35">
        <f t="shared" si="6"/>
        <v>2.0641960472113776E-2</v>
      </c>
      <c r="E76" s="35">
        <f t="shared" si="7"/>
        <v>307.71429601966184</v>
      </c>
      <c r="F76" s="33">
        <f t="shared" si="84"/>
        <v>2938.0741185836587</v>
      </c>
      <c r="G76" s="34">
        <f t="shared" si="85"/>
        <v>0.97935803952788625</v>
      </c>
      <c r="H76" s="6"/>
      <c r="I76" s="16"/>
      <c r="J76" s="33"/>
      <c r="K76" s="35">
        <f t="shared" si="75"/>
        <v>24.49540705133073</v>
      </c>
      <c r="L76" s="16">
        <f t="shared" si="76"/>
        <v>23.701918449506813</v>
      </c>
      <c r="M76" s="16">
        <f t="shared" si="77"/>
        <v>24.197325500837543</v>
      </c>
      <c r="N76" s="16">
        <f t="shared" si="10"/>
        <v>24.081004064071895</v>
      </c>
      <c r="O76" s="7"/>
      <c r="P76" s="57">
        <f t="shared" si="14"/>
        <v>-8.2800430692551663E-2</v>
      </c>
      <c r="Q76" s="57">
        <f t="shared" si="11"/>
        <v>-3.231151021268034E-3</v>
      </c>
      <c r="R76" s="62"/>
    </row>
    <row r="77" spans="1:18">
      <c r="A77" s="5">
        <v>63</v>
      </c>
      <c r="B77" s="6">
        <v>1</v>
      </c>
      <c r="C77" s="35">
        <f t="shared" si="5"/>
        <v>24.085489564380794</v>
      </c>
      <c r="D77" s="35">
        <f t="shared" si="6"/>
        <v>1.7715120941353385E-2</v>
      </c>
      <c r="E77" s="35">
        <f t="shared" si="7"/>
        <v>308.63390900022677</v>
      </c>
      <c r="F77" s="33">
        <f t="shared" si="84"/>
        <v>2946.8546371759398</v>
      </c>
      <c r="G77" s="34">
        <f t="shared" si="85"/>
        <v>0.98228487905864659</v>
      </c>
      <c r="H77" s="6"/>
      <c r="I77" s="16"/>
      <c r="J77" s="33"/>
      <c r="K77" s="35">
        <f t="shared" si="75"/>
        <v>24.425162902592483</v>
      </c>
      <c r="L77" s="16">
        <f t="shared" si="76"/>
        <v>23.765692884895685</v>
      </c>
      <c r="M77" s="16">
        <f t="shared" si="77"/>
        <v>24.190855787488168</v>
      </c>
      <c r="N77" s="16">
        <f t="shared" si="10"/>
        <v>24.085489564380794</v>
      </c>
      <c r="O77" s="7"/>
      <c r="P77" s="57">
        <f t="shared" si="14"/>
        <v>-6.5085309751198278E-2</v>
      </c>
      <c r="Q77" s="57">
        <f t="shared" si="11"/>
        <v>-2.926839530760391E-3</v>
      </c>
      <c r="R77" s="62"/>
    </row>
    <row r="78" spans="1:18">
      <c r="A78" s="5">
        <v>64</v>
      </c>
      <c r="B78" s="6">
        <v>1</v>
      </c>
      <c r="C78" s="35">
        <f t="shared" si="5"/>
        <v>24.087266497071909</v>
      </c>
      <c r="D78" s="35">
        <f t="shared" si="6"/>
        <v>1.5083615818631187E-2</v>
      </c>
      <c r="E78" s="35">
        <f t="shared" si="7"/>
        <v>309.4607279097861</v>
      </c>
      <c r="F78" s="33">
        <f t="shared" si="84"/>
        <v>2954.7491525441064</v>
      </c>
      <c r="G78" s="34">
        <f t="shared" si="85"/>
        <v>0.98491638418136884</v>
      </c>
      <c r="H78" s="6"/>
      <c r="I78" s="16"/>
      <c r="J78" s="33"/>
      <c r="K78" s="35">
        <f t="shared" ref="K78:K113" si="86">D78*$U$2+$D$7</f>
        <v>24.36200677964715</v>
      </c>
      <c r="L78" s="16">
        <f t="shared" ref="L78:L113" si="87">$U$3*P78+$D$7</f>
        <v>23.819993901842757</v>
      </c>
      <c r="M78" s="16">
        <f t="shared" ref="M78:M113" si="88">D78*$U$2+$U$3*P78+$D$7</f>
        <v>24.182000681489907</v>
      </c>
      <c r="N78" s="16">
        <f t="shared" si="10"/>
        <v>24.087266497071909</v>
      </c>
      <c r="O78" s="7"/>
      <c r="P78" s="57">
        <f t="shared" si="14"/>
        <v>-5.0001693932567093E-2</v>
      </c>
      <c r="Q78" s="57">
        <f t="shared" si="11"/>
        <v>-2.631505122722198E-3</v>
      </c>
      <c r="R78" s="62"/>
    </row>
    <row r="79" spans="1:18">
      <c r="A79" s="5">
        <v>65</v>
      </c>
      <c r="B79" s="6">
        <v>1</v>
      </c>
      <c r="C79" s="35">
        <f t="shared" ref="C79:C113" si="89">N79</f>
        <v>24.086900926063702</v>
      </c>
      <c r="D79" s="35">
        <f t="shared" ref="D79:D113" si="90">($D$1-F79)/$D$1</f>
        <v>1.2734547070623648E-2</v>
      </c>
      <c r="E79" s="35">
        <f t="shared" ref="E79:E113" si="91">($P$6*C78-$P$7*B79*$I$2+$P$8*E78)</f>
        <v>310.19880531041008</v>
      </c>
      <c r="F79" s="33">
        <f t="shared" si="84"/>
        <v>2961.7963587881291</v>
      </c>
      <c r="G79" s="34">
        <f t="shared" si="85"/>
        <v>0.9872654529293764</v>
      </c>
      <c r="H79" s="6"/>
      <c r="I79" s="16"/>
      <c r="J79" s="33"/>
      <c r="K79" s="35">
        <f t="shared" si="86"/>
        <v>24.305629129694967</v>
      </c>
      <c r="L79" s="16">
        <f t="shared" si="87"/>
        <v>23.865838271297005</v>
      </c>
      <c r="M79" s="16">
        <f t="shared" si="88"/>
        <v>24.171467400991972</v>
      </c>
      <c r="N79" s="16">
        <f t="shared" ref="N79:N113" si="92">D79*$U$2+$U$3*P79+$D$7 + $U$4*Q79</f>
        <v>24.086900926063702</v>
      </c>
      <c r="O79" s="7"/>
      <c r="P79" s="57">
        <f t="shared" si="14"/>
        <v>-3.7267146861943448E-2</v>
      </c>
      <c r="Q79" s="57">
        <f t="shared" ref="Q79:Q113" si="93">D79-D78</f>
        <v>-2.3490687480075389E-3</v>
      </c>
      <c r="R79" s="62"/>
    </row>
    <row r="80" spans="1:18">
      <c r="A80" s="5">
        <v>66</v>
      </c>
      <c r="B80" s="6">
        <v>1</v>
      </c>
      <c r="C80" s="35">
        <f t="shared" si="89"/>
        <v>24.084876086144817</v>
      </c>
      <c r="D80" s="35">
        <f t="shared" si="90"/>
        <v>1.0652224990412984E-2</v>
      </c>
      <c r="E80" s="35">
        <f t="shared" si="91"/>
        <v>310.85307090801223</v>
      </c>
      <c r="F80" s="33">
        <f t="shared" si="84"/>
        <v>2968.043325028761</v>
      </c>
      <c r="G80" s="34">
        <f t="shared" si="85"/>
        <v>0.98934777500958704</v>
      </c>
      <c r="H80" s="6"/>
      <c r="I80" s="16"/>
      <c r="J80" s="33"/>
      <c r="K80" s="35">
        <f t="shared" si="86"/>
        <v>24.255653399769912</v>
      </c>
      <c r="L80" s="16">
        <f t="shared" si="87"/>
        <v>23.90418628126249</v>
      </c>
      <c r="M80" s="16">
        <f t="shared" si="88"/>
        <v>24.159839681032402</v>
      </c>
      <c r="N80" s="16">
        <f t="shared" si="92"/>
        <v>24.084876086144817</v>
      </c>
      <c r="O80" s="7"/>
      <c r="P80" s="57">
        <f t="shared" ref="P80:P113" si="94">D80+P79</f>
        <v>-2.6614921871530466E-2</v>
      </c>
      <c r="Q80" s="57">
        <f t="shared" si="93"/>
        <v>-2.0823220802106638E-3</v>
      </c>
      <c r="R80" s="62"/>
    </row>
    <row r="81" spans="1:18">
      <c r="A81" s="5">
        <v>67</v>
      </c>
      <c r="B81" s="6">
        <v>1</v>
      </c>
      <c r="C81" s="35">
        <f t="shared" si="89"/>
        <v>24.081601103773927</v>
      </c>
      <c r="D81" s="35">
        <f t="shared" si="90"/>
        <v>8.8191025497846263E-3</v>
      </c>
      <c r="E81" s="35">
        <f t="shared" si="91"/>
        <v>311.42903797885771</v>
      </c>
      <c r="F81" s="33">
        <f t="shared" si="84"/>
        <v>2973.5426923506461</v>
      </c>
      <c r="G81" s="34">
        <f t="shared" si="85"/>
        <v>0.99118089745021543</v>
      </c>
      <c r="H81" s="6"/>
      <c r="I81" s="16"/>
      <c r="J81" s="33"/>
      <c r="K81" s="35">
        <f t="shared" si="86"/>
        <v>24.21165846119483</v>
      </c>
      <c r="L81" s="16">
        <f t="shared" si="87"/>
        <v>23.935935050441714</v>
      </c>
      <c r="M81" s="16">
        <f t="shared" si="88"/>
        <v>24.147593511636547</v>
      </c>
      <c r="N81" s="16">
        <f t="shared" si="92"/>
        <v>24.081601103773927</v>
      </c>
      <c r="O81" s="7"/>
      <c r="P81" s="57">
        <f t="shared" si="94"/>
        <v>-1.7795819321745839E-2</v>
      </c>
      <c r="Q81" s="57">
        <f t="shared" si="93"/>
        <v>-1.833122440628358E-3</v>
      </c>
      <c r="R81" s="62"/>
    </row>
    <row r="82" spans="1:18">
      <c r="A82" s="5">
        <v>68</v>
      </c>
      <c r="B82" s="6">
        <v>1</v>
      </c>
      <c r="C82" s="35">
        <f t="shared" si="89"/>
        <v>24.077419264511583</v>
      </c>
      <c r="D82" s="35">
        <f t="shared" si="90"/>
        <v>7.2165394003477559E-3</v>
      </c>
      <c r="E82" s="35">
        <f t="shared" si="91"/>
        <v>311.93256332041074</v>
      </c>
      <c r="F82" s="33">
        <f t="shared" si="84"/>
        <v>2978.3503817989567</v>
      </c>
      <c r="G82" s="34">
        <f t="shared" si="85"/>
        <v>0.99278346059965228</v>
      </c>
      <c r="H82" s="6"/>
      <c r="I82" s="16"/>
      <c r="J82" s="33"/>
      <c r="K82" s="35">
        <f t="shared" si="86"/>
        <v>24.173196945608346</v>
      </c>
      <c r="L82" s="16">
        <f t="shared" si="87"/>
        <v>23.961914592282966</v>
      </c>
      <c r="M82" s="16">
        <f t="shared" si="88"/>
        <v>24.135111537891312</v>
      </c>
      <c r="N82" s="16">
        <f t="shared" si="92"/>
        <v>24.077419264511583</v>
      </c>
      <c r="O82" s="7"/>
      <c r="P82" s="57">
        <f t="shared" si="94"/>
        <v>-1.0579279921398083E-2</v>
      </c>
      <c r="Q82" s="57">
        <f t="shared" si="93"/>
        <v>-1.6025631494368704E-3</v>
      </c>
      <c r="R82" s="62"/>
    </row>
    <row r="83" spans="1:18">
      <c r="A83" s="5">
        <v>69</v>
      </c>
      <c r="B83" s="6">
        <v>1</v>
      </c>
      <c r="C83" s="35">
        <f t="shared" si="89"/>
        <v>24.072615762857257</v>
      </c>
      <c r="D83" s="35">
        <f t="shared" si="90"/>
        <v>5.8254180658303392E-3</v>
      </c>
      <c r="E83" s="35">
        <f t="shared" si="91"/>
        <v>312.36965364371611</v>
      </c>
      <c r="F83" s="33">
        <f t="shared" si="84"/>
        <v>2982.523745802509</v>
      </c>
      <c r="G83" s="34">
        <f t="shared" si="85"/>
        <v>0.99417458193416963</v>
      </c>
      <c r="H83" s="6"/>
      <c r="I83" s="16"/>
      <c r="J83" s="33"/>
      <c r="K83" s="35">
        <f t="shared" si="86"/>
        <v>24.139810033579927</v>
      </c>
      <c r="L83" s="16">
        <f t="shared" si="87"/>
        <v>23.982886097319955</v>
      </c>
      <c r="M83" s="16">
        <f t="shared" si="88"/>
        <v>24.122696130899886</v>
      </c>
      <c r="N83" s="16">
        <f t="shared" si="92"/>
        <v>24.072615762857257</v>
      </c>
      <c r="O83" s="7"/>
      <c r="P83" s="57">
        <f t="shared" si="94"/>
        <v>-4.7538618555677441E-3</v>
      </c>
      <c r="Q83" s="57">
        <f t="shared" si="93"/>
        <v>-1.3911213345174167E-3</v>
      </c>
      <c r="R83" s="62"/>
    </row>
    <row r="84" spans="1:18">
      <c r="A84" s="5">
        <v>70</v>
      </c>
      <c r="B84" s="6">
        <v>1</v>
      </c>
      <c r="C84" s="35">
        <f t="shared" si="89"/>
        <v>24.067424894022889</v>
      </c>
      <c r="D84" s="35">
        <f t="shared" si="90"/>
        <v>4.6266328156104163E-3</v>
      </c>
      <c r="E84" s="35">
        <f t="shared" si="91"/>
        <v>312.74631196933518</v>
      </c>
      <c r="F84" s="33">
        <f t="shared" si="84"/>
        <v>2986.1201015531688</v>
      </c>
      <c r="G84" s="34">
        <f t="shared" si="85"/>
        <v>0.99537336718438962</v>
      </c>
      <c r="H84" s="6"/>
      <c r="I84" s="16"/>
      <c r="J84" s="33"/>
      <c r="K84" s="35">
        <f t="shared" si="86"/>
        <v>24.111039187574651</v>
      </c>
      <c r="L84" s="16">
        <f t="shared" si="87"/>
        <v>23.999541975456154</v>
      </c>
      <c r="M84" s="16">
        <f t="shared" si="88"/>
        <v>24.110581163030805</v>
      </c>
      <c r="N84" s="16">
        <f t="shared" si="92"/>
        <v>24.067424894022889</v>
      </c>
      <c r="O84" s="7"/>
      <c r="P84" s="57">
        <f t="shared" si="94"/>
        <v>-1.2722903995732778E-4</v>
      </c>
      <c r="Q84" s="57">
        <f t="shared" si="93"/>
        <v>-1.1987852502199229E-3</v>
      </c>
      <c r="R84" s="62"/>
    </row>
    <row r="85" spans="1:18">
      <c r="A85" s="5">
        <v>71</v>
      </c>
      <c r="B85" s="6">
        <v>1</v>
      </c>
      <c r="C85" s="35">
        <f t="shared" si="89"/>
        <v>24.062036667645952</v>
      </c>
      <c r="D85" s="35">
        <f t="shared" si="90"/>
        <v>3.6014697099335537E-3</v>
      </c>
      <c r="E85" s="35">
        <f t="shared" si="91"/>
        <v>313.06841821713886</v>
      </c>
      <c r="F85" s="33">
        <f t="shared" si="84"/>
        <v>2989.1955908701993</v>
      </c>
      <c r="G85" s="34">
        <f t="shared" si="85"/>
        <v>0.99639853029006642</v>
      </c>
      <c r="H85" s="6"/>
      <c r="I85" s="16"/>
      <c r="J85" s="33"/>
      <c r="K85" s="35">
        <f t="shared" si="86"/>
        <v>24.086435273038404</v>
      </c>
      <c r="L85" s="16">
        <f t="shared" si="87"/>
        <v>24.012507266411916</v>
      </c>
      <c r="M85" s="16">
        <f t="shared" si="88"/>
        <v>24.09894253945032</v>
      </c>
      <c r="N85" s="16">
        <f t="shared" si="92"/>
        <v>24.062036667645952</v>
      </c>
      <c r="O85" s="7"/>
      <c r="P85" s="57">
        <f t="shared" si="94"/>
        <v>3.4742406699762259E-3</v>
      </c>
      <c r="Q85" s="57">
        <f t="shared" si="93"/>
        <v>-1.0251631056768626E-3</v>
      </c>
      <c r="R85" s="62"/>
    </row>
    <row r="86" spans="1:18">
      <c r="A86" s="5">
        <v>72</v>
      </c>
      <c r="B86" s="6">
        <v>1</v>
      </c>
      <c r="C86" s="35">
        <f t="shared" si="89"/>
        <v>24.056602839357279</v>
      </c>
      <c r="D86" s="35">
        <f t="shared" si="90"/>
        <v>2.7318943789775099E-3</v>
      </c>
      <c r="E86" s="35">
        <f t="shared" si="91"/>
        <v>313.34163878612526</v>
      </c>
      <c r="F86" s="33">
        <f t="shared" si="84"/>
        <v>2991.8043168630675</v>
      </c>
      <c r="G86" s="34">
        <f t="shared" si="85"/>
        <v>0.99726810562102253</v>
      </c>
      <c r="H86" s="6"/>
      <c r="I86" s="16"/>
      <c r="J86" s="33"/>
      <c r="K86" s="35">
        <f t="shared" si="86"/>
        <v>24.06556546509546</v>
      </c>
      <c r="L86" s="16">
        <f t="shared" si="87"/>
        <v>24.022342086176234</v>
      </c>
      <c r="M86" s="16">
        <f t="shared" si="88"/>
        <v>24.087907551271694</v>
      </c>
      <c r="N86" s="16">
        <f t="shared" si="92"/>
        <v>24.056602839357279</v>
      </c>
      <c r="O86" s="7"/>
      <c r="P86" s="57">
        <f t="shared" si="94"/>
        <v>6.2061350489537358E-3</v>
      </c>
      <c r="Q86" s="57">
        <f t="shared" si="93"/>
        <v>-8.6957533095604386E-4</v>
      </c>
      <c r="R86" s="62"/>
    </row>
    <row r="87" spans="1:18">
      <c r="A87" s="5">
        <v>73</v>
      </c>
      <c r="B87" s="6">
        <v>1</v>
      </c>
      <c r="C87" s="35">
        <f t="shared" si="89"/>
        <v>24.051242368723308</v>
      </c>
      <c r="D87" s="35">
        <f t="shared" si="90"/>
        <v>2.0007622671425148E-3</v>
      </c>
      <c r="E87" s="35">
        <f t="shared" si="91"/>
        <v>313.57136049566378</v>
      </c>
      <c r="F87" s="33">
        <f t="shared" si="84"/>
        <v>2993.9977131985725</v>
      </c>
      <c r="G87" s="34">
        <f t="shared" si="85"/>
        <v>0.99799923773285748</v>
      </c>
      <c r="H87" s="6"/>
      <c r="I87" s="16"/>
      <c r="J87" s="33"/>
      <c r="K87" s="35">
        <f t="shared" si="86"/>
        <v>24.04801829441142</v>
      </c>
      <c r="L87" s="16">
        <f t="shared" si="87"/>
        <v>24.029544830337947</v>
      </c>
      <c r="M87" s="16">
        <f t="shared" si="88"/>
        <v>24.077563124749368</v>
      </c>
      <c r="N87" s="16">
        <f t="shared" si="92"/>
        <v>24.051242368723308</v>
      </c>
      <c r="O87" s="7"/>
      <c r="P87" s="57">
        <f t="shared" si="94"/>
        <v>8.2068973160962511E-3</v>
      </c>
      <c r="Q87" s="57">
        <f t="shared" si="93"/>
        <v>-7.3113211183499505E-4</v>
      </c>
      <c r="R87" s="62"/>
    </row>
    <row r="88" spans="1:18">
      <c r="A88" s="5">
        <v>74</v>
      </c>
      <c r="B88" s="6">
        <v>1</v>
      </c>
      <c r="C88" s="35">
        <f t="shared" si="89"/>
        <v>24.046046321665482</v>
      </c>
      <c r="D88" s="35">
        <f t="shared" si="90"/>
        <v>1.3919643544759311E-3</v>
      </c>
      <c r="E88" s="35">
        <f t="shared" si="91"/>
        <v>313.76264479982365</v>
      </c>
      <c r="F88" s="33">
        <f t="shared" si="84"/>
        <v>2995.8241069365722</v>
      </c>
      <c r="G88" s="34">
        <f t="shared" si="85"/>
        <v>0.99860803564552403</v>
      </c>
      <c r="H88" s="6"/>
      <c r="I88" s="16"/>
      <c r="J88" s="33"/>
      <c r="K88" s="35">
        <f t="shared" si="86"/>
        <v>24.033407144507422</v>
      </c>
      <c r="L88" s="16">
        <f t="shared" si="87"/>
        <v>24.034555902014059</v>
      </c>
      <c r="M88" s="16">
        <f t="shared" si="88"/>
        <v>24.067963046521481</v>
      </c>
      <c r="N88" s="16">
        <f t="shared" si="92"/>
        <v>24.046046321665482</v>
      </c>
      <c r="O88" s="7"/>
      <c r="P88" s="57">
        <f t="shared" si="94"/>
        <v>9.5988616705721813E-3</v>
      </c>
      <c r="Q88" s="57">
        <f t="shared" si="93"/>
        <v>-6.087979126665837E-4</v>
      </c>
      <c r="R88" s="62"/>
    </row>
    <row r="89" spans="1:18">
      <c r="A89" s="5">
        <v>75</v>
      </c>
      <c r="B89" s="6">
        <v>1</v>
      </c>
      <c r="C89" s="35">
        <f t="shared" si="89"/>
        <v>24.041082242569082</v>
      </c>
      <c r="D89" s="35">
        <f t="shared" si="90"/>
        <v>8.9051976912196554E-4</v>
      </c>
      <c r="E89" s="35">
        <f t="shared" si="91"/>
        <v>313.92019868854186</v>
      </c>
      <c r="F89" s="33">
        <f t="shared" si="84"/>
        <v>2997.3284406926341</v>
      </c>
      <c r="G89" s="34">
        <f t="shared" si="85"/>
        <v>0.99910948023087809</v>
      </c>
      <c r="H89" s="6"/>
      <c r="I89" s="16"/>
      <c r="J89" s="33"/>
      <c r="K89" s="35">
        <f t="shared" si="86"/>
        <v>24.021372474458929</v>
      </c>
      <c r="L89" s="16">
        <f t="shared" si="87"/>
        <v>24.037761773182901</v>
      </c>
      <c r="M89" s="16">
        <f t="shared" si="88"/>
        <v>24.059134247641826</v>
      </c>
      <c r="N89" s="16">
        <f t="shared" si="92"/>
        <v>24.041082242569082</v>
      </c>
      <c r="O89" s="7"/>
      <c r="P89" s="57">
        <f t="shared" si="94"/>
        <v>1.0489381439694146E-2</v>
      </c>
      <c r="Q89" s="57">
        <f t="shared" si="93"/>
        <v>-5.0144458535396558E-4</v>
      </c>
      <c r="R89" s="62"/>
    </row>
    <row r="90" spans="1:18">
      <c r="A90" s="5">
        <v>76</v>
      </c>
      <c r="B90" s="6">
        <v>1</v>
      </c>
      <c r="C90" s="35">
        <f t="shared" si="89"/>
        <v>24.03639802631308</v>
      </c>
      <c r="D90" s="35">
        <f t="shared" si="90"/>
        <v>4.8262523299642151E-4</v>
      </c>
      <c r="E90" s="35">
        <f t="shared" si="91"/>
        <v>314.04835915179251</v>
      </c>
      <c r="F90" s="33">
        <f t="shared" si="84"/>
        <v>2998.5521243010107</v>
      </c>
      <c r="G90" s="34">
        <f t="shared" si="85"/>
        <v>0.99951737476700353</v>
      </c>
      <c r="H90" s="6"/>
      <c r="I90" s="16"/>
      <c r="J90" s="33"/>
      <c r="K90" s="35">
        <f t="shared" si="86"/>
        <v>24.011583005591913</v>
      </c>
      <c r="L90" s="16">
        <f t="shared" si="87"/>
        <v>24.039499224021686</v>
      </c>
      <c r="M90" s="16">
        <f t="shared" si="88"/>
        <v>24.051082229613598</v>
      </c>
      <c r="N90" s="16">
        <f t="shared" si="92"/>
        <v>24.03639802631308</v>
      </c>
      <c r="O90" s="7"/>
      <c r="P90" s="57">
        <f t="shared" si="94"/>
        <v>1.0972006672690568E-2</v>
      </c>
      <c r="Q90" s="57">
        <f t="shared" si="93"/>
        <v>-4.0789453612554403E-4</v>
      </c>
      <c r="R90" s="62"/>
    </row>
    <row r="91" spans="1:18">
      <c r="A91" s="5">
        <v>77</v>
      </c>
      <c r="B91" s="6">
        <v>1</v>
      </c>
      <c r="C91" s="35">
        <f t="shared" si="89"/>
        <v>24.032025323753231</v>
      </c>
      <c r="D91" s="35">
        <f t="shared" si="90"/>
        <v>1.5566993898452589E-4</v>
      </c>
      <c r="E91" s="35">
        <f t="shared" si="91"/>
        <v>314.15108850517106</v>
      </c>
      <c r="F91" s="33">
        <f t="shared" si="84"/>
        <v>2999.5329901830464</v>
      </c>
      <c r="G91" s="34">
        <f t="shared" si="85"/>
        <v>0.99984433006101547</v>
      </c>
      <c r="H91" s="6"/>
      <c r="I91" s="16"/>
      <c r="J91" s="33"/>
      <c r="K91" s="35">
        <f t="shared" si="86"/>
        <v>24.003736078535628</v>
      </c>
      <c r="L91" s="16">
        <f t="shared" si="87"/>
        <v>24.040059635802031</v>
      </c>
      <c r="M91" s="16">
        <f t="shared" si="88"/>
        <v>24.043795714337659</v>
      </c>
      <c r="N91" s="16">
        <f t="shared" si="92"/>
        <v>24.032025323753231</v>
      </c>
      <c r="O91" s="7"/>
      <c r="P91" s="57">
        <f t="shared" si="94"/>
        <v>1.1127676611675094E-2</v>
      </c>
      <c r="Q91" s="57">
        <f t="shared" si="93"/>
        <v>-3.2695529401189564E-4</v>
      </c>
      <c r="R91" s="62"/>
    </row>
    <row r="92" spans="1:18">
      <c r="A92" s="5">
        <v>78</v>
      </c>
      <c r="B92" s="6">
        <v>1</v>
      </c>
      <c r="C92" s="35">
        <f t="shared" si="89"/>
        <v>24.027982516086585</v>
      </c>
      <c r="D92" s="35">
        <f t="shared" si="90"/>
        <v>-1.017767596226804E-4</v>
      </c>
      <c r="E92" s="35">
        <f t="shared" si="91"/>
        <v>314.23197825787344</v>
      </c>
      <c r="F92" s="33">
        <f t="shared" si="84"/>
        <v>3000.305330278868</v>
      </c>
      <c r="G92" s="34">
        <f t="shared" si="85"/>
        <v>1.0001017767596228</v>
      </c>
      <c r="H92" s="6"/>
      <c r="I92" s="16"/>
      <c r="J92" s="33"/>
      <c r="K92" s="35">
        <f t="shared" si="86"/>
        <v>23.997557357769054</v>
      </c>
      <c r="L92" s="16">
        <f t="shared" si="87"/>
        <v>24.03969323946739</v>
      </c>
      <c r="M92" s="16">
        <f t="shared" si="88"/>
        <v>24.037250597236444</v>
      </c>
      <c r="N92" s="16">
        <f t="shared" si="92"/>
        <v>24.027982516086585</v>
      </c>
      <c r="O92" s="7"/>
      <c r="P92" s="57">
        <f t="shared" si="94"/>
        <v>1.1025899852052413E-2</v>
      </c>
      <c r="Q92" s="57">
        <f t="shared" si="93"/>
        <v>-2.5744669860720631E-4</v>
      </c>
      <c r="R92" s="62"/>
    </row>
    <row r="93" spans="1:18">
      <c r="A93" s="5">
        <v>79</v>
      </c>
      <c r="B93" s="6">
        <v>1</v>
      </c>
      <c r="C93" s="35">
        <f t="shared" si="89"/>
        <v>24.024277294290016</v>
      </c>
      <c r="D93" s="35">
        <f t="shared" si="90"/>
        <v>-2.9999856169479245E-4</v>
      </c>
      <c r="E93" s="35">
        <f t="shared" si="91"/>
        <v>314.29425954808448</v>
      </c>
      <c r="F93" s="33">
        <f t="shared" si="84"/>
        <v>3000.8999956850844</v>
      </c>
      <c r="G93" s="34">
        <f t="shared" si="85"/>
        <v>1.0002999985616947</v>
      </c>
      <c r="H93" s="6"/>
      <c r="I93" s="16"/>
      <c r="J93" s="33"/>
      <c r="K93" s="35">
        <f t="shared" si="86"/>
        <v>23.992800034519323</v>
      </c>
      <c r="L93" s="16">
        <f t="shared" si="87"/>
        <v>24.038613244645287</v>
      </c>
      <c r="M93" s="16">
        <f t="shared" si="88"/>
        <v>24.031413279164614</v>
      </c>
      <c r="N93" s="16">
        <f t="shared" si="92"/>
        <v>24.024277294290016</v>
      </c>
      <c r="O93" s="7"/>
      <c r="P93" s="57">
        <f t="shared" si="94"/>
        <v>1.0725901290357621E-2</v>
      </c>
      <c r="Q93" s="57">
        <f t="shared" si="93"/>
        <v>-1.9822180207211207E-4</v>
      </c>
      <c r="R93" s="62"/>
    </row>
    <row r="94" spans="1:18">
      <c r="A94" s="5">
        <v>80</v>
      </c>
      <c r="B94" s="6">
        <v>0.8</v>
      </c>
      <c r="C94" s="35">
        <f t="shared" si="89"/>
        <v>23.163162131850754</v>
      </c>
      <c r="D94" s="35">
        <f t="shared" si="90"/>
        <v>-1.3934765110307277E-2</v>
      </c>
      <c r="E94" s="35">
        <f t="shared" si="91"/>
        <v>318.57830319765856</v>
      </c>
      <c r="F94" s="33">
        <f t="shared" si="84"/>
        <v>3041.8042953309218</v>
      </c>
      <c r="G94" s="34">
        <f t="shared" si="85"/>
        <v>1.0139347651103072</v>
      </c>
      <c r="H94" s="6"/>
      <c r="I94" s="16"/>
      <c r="J94" s="33"/>
      <c r="K94" s="35">
        <f t="shared" si="86"/>
        <v>23.665565637352625</v>
      </c>
      <c r="L94" s="16">
        <f t="shared" si="87"/>
        <v>23.98844809024818</v>
      </c>
      <c r="M94" s="16">
        <f t="shared" si="88"/>
        <v>23.654013727600805</v>
      </c>
      <c r="N94" s="16">
        <f t="shared" si="92"/>
        <v>23.163162131850754</v>
      </c>
      <c r="O94" s="7"/>
      <c r="P94" s="57">
        <f t="shared" si="94"/>
        <v>-3.2088638199496561E-3</v>
      </c>
      <c r="Q94" s="57">
        <f t="shared" si="93"/>
        <v>-1.3634766548612485E-2</v>
      </c>
      <c r="R94" s="62"/>
    </row>
    <row r="95" spans="1:18">
      <c r="A95" s="5">
        <v>81</v>
      </c>
      <c r="B95" s="6">
        <v>0.8</v>
      </c>
      <c r="C95" s="35">
        <f t="shared" si="89"/>
        <v>23.244480965196878</v>
      </c>
      <c r="D95" s="35">
        <f t="shared" si="90"/>
        <v>-1.9585199198464881E-2</v>
      </c>
      <c r="E95" s="35">
        <f t="shared" si="91"/>
        <v>320.35366958815763</v>
      </c>
      <c r="F95" s="33">
        <f t="shared" si="84"/>
        <v>3058.7555975953946</v>
      </c>
      <c r="G95" s="34">
        <f t="shared" si="85"/>
        <v>1.0195851991984648</v>
      </c>
      <c r="H95" s="6"/>
      <c r="I95" s="16"/>
      <c r="J95" s="33"/>
      <c r="K95" s="35">
        <f t="shared" si="86"/>
        <v>23.529955219236843</v>
      </c>
      <c r="L95" s="16">
        <f t="shared" si="87"/>
        <v>23.917941373133708</v>
      </c>
      <c r="M95" s="16">
        <f t="shared" si="88"/>
        <v>23.447896592370551</v>
      </c>
      <c r="N95" s="16">
        <f t="shared" si="92"/>
        <v>23.244480965196878</v>
      </c>
      <c r="O95" s="7"/>
      <c r="P95" s="57">
        <f t="shared" si="94"/>
        <v>-2.2794063018414537E-2</v>
      </c>
      <c r="Q95" s="57">
        <f t="shared" si="93"/>
        <v>-5.6504340881576038E-3</v>
      </c>
      <c r="R95" s="62"/>
    </row>
    <row r="96" spans="1:18">
      <c r="A96" s="5">
        <v>82</v>
      </c>
      <c r="B96" s="6">
        <v>0.8</v>
      </c>
      <c r="C96" s="35">
        <f t="shared" si="89"/>
        <v>23.019660410084956</v>
      </c>
      <c r="D96" s="35">
        <f t="shared" si="90"/>
        <v>-2.5209876323796985E-2</v>
      </c>
      <c r="E96" s="35">
        <f t="shared" si="91"/>
        <v>322.12094314093702</v>
      </c>
      <c r="F96" s="33">
        <f t="shared" si="84"/>
        <v>3075.629628971391</v>
      </c>
      <c r="G96" s="34">
        <f t="shared" si="85"/>
        <v>1.0252098763237969</v>
      </c>
      <c r="H96" s="6"/>
      <c r="I96" s="16"/>
      <c r="J96" s="33"/>
      <c r="K96" s="35">
        <f t="shared" si="86"/>
        <v>23.394962968228871</v>
      </c>
      <c r="L96" s="16">
        <f t="shared" si="87"/>
        <v>23.82718581836804</v>
      </c>
      <c r="M96" s="16">
        <f t="shared" si="88"/>
        <v>23.222148786596911</v>
      </c>
      <c r="N96" s="16">
        <f t="shared" si="92"/>
        <v>23.019660410084956</v>
      </c>
      <c r="O96" s="7"/>
      <c r="P96" s="57">
        <f t="shared" si="94"/>
        <v>-4.8003939342211518E-2</v>
      </c>
      <c r="Q96" s="57">
        <f t="shared" si="93"/>
        <v>-5.6246771253321039E-3</v>
      </c>
      <c r="R96" s="62"/>
    </row>
    <row r="97" spans="1:18">
      <c r="A97" s="5">
        <v>83</v>
      </c>
      <c r="B97" s="6">
        <v>0.8</v>
      </c>
      <c r="C97" s="35">
        <f t="shared" si="89"/>
        <v>22.921001170923983</v>
      </c>
      <c r="D97" s="35">
        <f t="shared" si="90"/>
        <v>-2.8517927595923691E-2</v>
      </c>
      <c r="E97" s="35">
        <f t="shared" si="91"/>
        <v>323.16033285063918</v>
      </c>
      <c r="F97" s="33">
        <f t="shared" si="84"/>
        <v>3085.5537827877711</v>
      </c>
      <c r="G97" s="34">
        <f t="shared" si="85"/>
        <v>1.0285179275959238</v>
      </c>
      <c r="H97" s="6"/>
      <c r="I97" s="16"/>
      <c r="J97" s="33"/>
      <c r="K97" s="35">
        <f t="shared" si="86"/>
        <v>23.315569737697832</v>
      </c>
      <c r="L97" s="16">
        <f t="shared" si="87"/>
        <v>23.724521279022714</v>
      </c>
      <c r="M97" s="16">
        <f t="shared" si="88"/>
        <v>23.040091016720545</v>
      </c>
      <c r="N97" s="16">
        <f t="shared" si="92"/>
        <v>22.921001170923983</v>
      </c>
      <c r="O97" s="7"/>
      <c r="P97" s="57">
        <f t="shared" si="94"/>
        <v>-7.6521866938135202E-2</v>
      </c>
      <c r="Q97" s="57">
        <f t="shared" si="93"/>
        <v>-3.3080512721267059E-3</v>
      </c>
      <c r="R97" s="62"/>
    </row>
    <row r="98" spans="1:18">
      <c r="A98" s="5">
        <v>84</v>
      </c>
      <c r="B98" s="6">
        <v>0.8</v>
      </c>
      <c r="C98" s="35">
        <f t="shared" si="89"/>
        <v>22.797693691379514</v>
      </c>
      <c r="D98" s="35">
        <f t="shared" si="90"/>
        <v>-3.0714983979503965E-2</v>
      </c>
      <c r="E98" s="35">
        <f t="shared" si="91"/>
        <v>323.85064796636016</v>
      </c>
      <c r="F98" s="33">
        <f t="shared" si="84"/>
        <v>3092.1449519385119</v>
      </c>
      <c r="G98" s="34">
        <f t="shared" si="85"/>
        <v>1.030714983979504</v>
      </c>
      <c r="H98" s="6"/>
      <c r="I98" s="16"/>
      <c r="J98" s="33"/>
      <c r="K98" s="35">
        <f t="shared" si="86"/>
        <v>23.262840384491906</v>
      </c>
      <c r="L98" s="16">
        <f t="shared" si="87"/>
        <v>23.613947336696498</v>
      </c>
      <c r="M98" s="16">
        <f t="shared" si="88"/>
        <v>22.876787721188403</v>
      </c>
      <c r="N98" s="16">
        <f t="shared" si="92"/>
        <v>22.797693691379514</v>
      </c>
      <c r="O98" s="7"/>
      <c r="P98" s="57">
        <f t="shared" si="94"/>
        <v>-0.10723685091763917</v>
      </c>
      <c r="Q98" s="57">
        <f t="shared" si="93"/>
        <v>-2.1970563835802745E-3</v>
      </c>
      <c r="R98" s="62"/>
    </row>
    <row r="99" spans="1:18">
      <c r="A99" s="5">
        <v>85</v>
      </c>
      <c r="B99" s="6">
        <v>0.8</v>
      </c>
      <c r="C99" s="35">
        <f t="shared" si="89"/>
        <v>22.700944525689799</v>
      </c>
      <c r="D99" s="35">
        <f t="shared" si="90"/>
        <v>-3.1741230098566726E-2</v>
      </c>
      <c r="E99" s="35">
        <f t="shared" si="91"/>
        <v>324.17309449696967</v>
      </c>
      <c r="F99" s="33">
        <f t="shared" si="84"/>
        <v>3095.2236902957002</v>
      </c>
      <c r="G99" s="34">
        <f t="shared" si="85"/>
        <v>1.0317412300985667</v>
      </c>
      <c r="H99" s="6"/>
      <c r="I99" s="16"/>
      <c r="J99" s="33"/>
      <c r="K99" s="35">
        <f t="shared" si="86"/>
        <v>23.2382104776344</v>
      </c>
      <c r="L99" s="16">
        <f t="shared" si="87"/>
        <v>23.499678908341657</v>
      </c>
      <c r="M99" s="16">
        <f t="shared" si="88"/>
        <v>22.737889385976057</v>
      </c>
      <c r="N99" s="16">
        <f t="shared" si="92"/>
        <v>22.700944525689799</v>
      </c>
      <c r="O99" s="7"/>
      <c r="P99" s="57">
        <f t="shared" si="94"/>
        <v>-0.1389780810162059</v>
      </c>
      <c r="Q99" s="57">
        <f t="shared" si="93"/>
        <v>-1.0262461190627611E-3</v>
      </c>
      <c r="R99" s="62"/>
    </row>
    <row r="100" spans="1:18">
      <c r="A100" s="5">
        <v>86</v>
      </c>
      <c r="B100" s="6">
        <v>0.8</v>
      </c>
      <c r="C100" s="35">
        <f t="shared" si="89"/>
        <v>22.611790688500935</v>
      </c>
      <c r="D100" s="35">
        <f t="shared" si="90"/>
        <v>-3.1927240619325857E-2</v>
      </c>
      <c r="E100" s="35">
        <f t="shared" si="91"/>
        <v>324.23153900259217</v>
      </c>
      <c r="F100" s="33">
        <f t="shared" si="84"/>
        <v>3095.7817218579776</v>
      </c>
      <c r="G100" s="34">
        <f t="shared" si="85"/>
        <v>1.0319272406193258</v>
      </c>
      <c r="H100" s="6"/>
      <c r="I100" s="16"/>
      <c r="J100" s="33"/>
      <c r="K100" s="35">
        <f t="shared" si="86"/>
        <v>23.23374622513618</v>
      </c>
      <c r="L100" s="16">
        <f t="shared" si="87"/>
        <v>23.384740842112084</v>
      </c>
      <c r="M100" s="16">
        <f t="shared" si="88"/>
        <v>22.618487067248264</v>
      </c>
      <c r="N100" s="16">
        <f t="shared" si="92"/>
        <v>22.611790688500935</v>
      </c>
      <c r="O100" s="7"/>
      <c r="P100" s="57">
        <f t="shared" si="94"/>
        <v>-0.17090532163553177</v>
      </c>
      <c r="Q100" s="57">
        <f t="shared" si="93"/>
        <v>-1.860105207591306E-4</v>
      </c>
      <c r="R100" s="62"/>
    </row>
    <row r="101" spans="1:18">
      <c r="A101" s="5">
        <v>87</v>
      </c>
      <c r="B101" s="6">
        <v>0.8</v>
      </c>
      <c r="C101" s="35">
        <f t="shared" si="89"/>
        <v>22.535532433395844</v>
      </c>
      <c r="D101" s="35">
        <f t="shared" si="90"/>
        <v>-3.1424356462452424E-2</v>
      </c>
      <c r="E101" s="35">
        <f t="shared" si="91"/>
        <v>324.07353280050256</v>
      </c>
      <c r="F101" s="33">
        <f t="shared" si="84"/>
        <v>3094.2730693873573</v>
      </c>
      <c r="G101" s="34">
        <f t="shared" si="85"/>
        <v>1.0314243564624523</v>
      </c>
      <c r="H101" s="6"/>
      <c r="I101" s="16"/>
      <c r="J101" s="33"/>
      <c r="K101" s="35">
        <f t="shared" si="86"/>
        <v>23.24581544490114</v>
      </c>
      <c r="L101" s="16">
        <f t="shared" si="87"/>
        <v>23.271613158847256</v>
      </c>
      <c r="M101" s="16">
        <f t="shared" si="88"/>
        <v>22.517428603748399</v>
      </c>
      <c r="N101" s="16">
        <f t="shared" si="92"/>
        <v>22.535532433395844</v>
      </c>
      <c r="O101" s="7"/>
      <c r="P101" s="57">
        <f t="shared" si="94"/>
        <v>-0.20232967809798419</v>
      </c>
      <c r="Q101" s="57">
        <f t="shared" si="93"/>
        <v>5.0288415687343296E-4</v>
      </c>
      <c r="R101" s="62"/>
    </row>
    <row r="102" spans="1:18">
      <c r="A102" s="5">
        <v>88</v>
      </c>
      <c r="B102" s="6">
        <v>0.8</v>
      </c>
      <c r="C102" s="35">
        <f t="shared" si="89"/>
        <v>22.469028831505813</v>
      </c>
      <c r="D102" s="35">
        <f t="shared" si="90"/>
        <v>-3.0406622012417148E-2</v>
      </c>
      <c r="E102" s="35">
        <f t="shared" si="91"/>
        <v>323.75376063630142</v>
      </c>
      <c r="F102" s="33">
        <f t="shared" si="84"/>
        <v>3091.2198660372514</v>
      </c>
      <c r="G102" s="34">
        <f t="shared" si="85"/>
        <v>1.0304066220124171</v>
      </c>
      <c r="H102" s="6"/>
      <c r="I102" s="16"/>
      <c r="J102" s="33"/>
      <c r="K102" s="35">
        <f t="shared" si="86"/>
        <v>23.270241071701989</v>
      </c>
      <c r="L102" s="16">
        <f t="shared" si="87"/>
        <v>23.162149319602555</v>
      </c>
      <c r="M102" s="16">
        <f t="shared" si="88"/>
        <v>22.432390391304544</v>
      </c>
      <c r="N102" s="16">
        <f t="shared" si="92"/>
        <v>22.469028831505813</v>
      </c>
      <c r="O102" s="7"/>
      <c r="P102" s="57">
        <f t="shared" si="94"/>
        <v>-0.23273630011040133</v>
      </c>
      <c r="Q102" s="57">
        <f t="shared" si="93"/>
        <v>1.0177344500352757E-3</v>
      </c>
      <c r="R102" s="62"/>
    </row>
    <row r="103" spans="1:18">
      <c r="A103" s="5">
        <v>89</v>
      </c>
      <c r="B103" s="6">
        <v>0.8</v>
      </c>
      <c r="C103" s="35">
        <f t="shared" si="89"/>
        <v>22.412070503093691</v>
      </c>
      <c r="D103" s="35">
        <f t="shared" si="90"/>
        <v>-2.9004987562199405E-2</v>
      </c>
      <c r="E103" s="35">
        <f t="shared" si="91"/>
        <v>323.31336709204305</v>
      </c>
      <c r="F103" s="33">
        <f t="shared" si="84"/>
        <v>3087.0149626865982</v>
      </c>
      <c r="G103" s="34">
        <f t="shared" si="85"/>
        <v>1.0290049875621994</v>
      </c>
      <c r="H103" s="6"/>
      <c r="I103" s="16"/>
      <c r="J103" s="33"/>
      <c r="K103" s="35">
        <f t="shared" si="86"/>
        <v>23.303880298507213</v>
      </c>
      <c r="L103" s="16">
        <f t="shared" si="87"/>
        <v>23.057731364378636</v>
      </c>
      <c r="M103" s="16">
        <f t="shared" si="88"/>
        <v>22.361611662885853</v>
      </c>
      <c r="N103" s="16">
        <f t="shared" si="92"/>
        <v>22.412070503093691</v>
      </c>
      <c r="O103" s="7"/>
      <c r="P103" s="57">
        <f t="shared" si="94"/>
        <v>-0.26174128767260074</v>
      </c>
      <c r="Q103" s="57">
        <f t="shared" si="93"/>
        <v>1.4016344502177439E-3</v>
      </c>
      <c r="R103" s="62"/>
    </row>
    <row r="104" spans="1:18">
      <c r="A104" s="5">
        <v>90</v>
      </c>
      <c r="B104" s="6">
        <v>0.8</v>
      </c>
      <c r="C104" s="35">
        <f t="shared" si="89"/>
        <v>22.363461053189141</v>
      </c>
      <c r="D104" s="35">
        <f t="shared" si="90"/>
        <v>-2.7334117349507477E-2</v>
      </c>
      <c r="E104" s="35">
        <f t="shared" si="91"/>
        <v>322.78837967121524</v>
      </c>
      <c r="F104" s="33">
        <f t="shared" si="84"/>
        <v>3082.0023520485224</v>
      </c>
      <c r="G104" s="34">
        <f t="shared" si="85"/>
        <v>1.0273341173495074</v>
      </c>
      <c r="H104" s="6"/>
      <c r="I104" s="16"/>
      <c r="J104" s="33"/>
      <c r="K104" s="35">
        <f t="shared" si="86"/>
        <v>23.34398118361182</v>
      </c>
      <c r="L104" s="16">
        <f t="shared" si="87"/>
        <v>22.95932854192041</v>
      </c>
      <c r="M104" s="16">
        <f t="shared" si="88"/>
        <v>22.30330972553223</v>
      </c>
      <c r="N104" s="16">
        <f t="shared" si="92"/>
        <v>22.363461053189141</v>
      </c>
      <c r="O104" s="7"/>
      <c r="P104" s="57">
        <f t="shared" si="94"/>
        <v>-0.28907540502210821</v>
      </c>
      <c r="Q104" s="57">
        <f t="shared" si="93"/>
        <v>1.670870212691928E-3</v>
      </c>
      <c r="R104" s="62"/>
    </row>
    <row r="105" spans="1:18">
      <c r="A105" s="5">
        <v>91</v>
      </c>
      <c r="B105" s="6">
        <v>0.8</v>
      </c>
      <c r="C105" s="35">
        <f t="shared" si="89"/>
        <v>22.322394718159568</v>
      </c>
      <c r="D105" s="35">
        <f t="shared" si="90"/>
        <v>-2.5486824659482862E-2</v>
      </c>
      <c r="E105" s="35">
        <f t="shared" si="91"/>
        <v>322.20796030800949</v>
      </c>
      <c r="F105" s="33">
        <f t="shared" si="84"/>
        <v>3076.4604739784486</v>
      </c>
      <c r="G105" s="34">
        <f t="shared" si="85"/>
        <v>1.0254868246594828</v>
      </c>
      <c r="H105" s="6"/>
      <c r="I105" s="16"/>
      <c r="J105" s="33"/>
      <c r="K105" s="35">
        <f t="shared" si="86"/>
        <v>23.388316208172412</v>
      </c>
      <c r="L105" s="16">
        <f t="shared" si="87"/>
        <v>22.867575973146273</v>
      </c>
      <c r="M105" s="16">
        <f t="shared" si="88"/>
        <v>22.255892181318682</v>
      </c>
      <c r="N105" s="16">
        <f t="shared" si="92"/>
        <v>22.322394718159568</v>
      </c>
      <c r="O105" s="7"/>
      <c r="P105" s="57">
        <f t="shared" si="94"/>
        <v>-0.31456222968159109</v>
      </c>
      <c r="Q105" s="57">
        <f t="shared" si="93"/>
        <v>1.8472926900246142E-3</v>
      </c>
      <c r="R105" s="62"/>
    </row>
    <row r="106" spans="1:18">
      <c r="A106" s="5">
        <v>92</v>
      </c>
      <c r="B106" s="6">
        <v>0.8</v>
      </c>
      <c r="C106" s="35">
        <f t="shared" si="89"/>
        <v>22.287992358663306</v>
      </c>
      <c r="D106" s="35">
        <f t="shared" si="90"/>
        <v>-2.3539454437489744E-2</v>
      </c>
      <c r="E106" s="35">
        <f t="shared" si="91"/>
        <v>321.59609658425927</v>
      </c>
      <c r="F106" s="33">
        <f t="shared" si="84"/>
        <v>3070.6183633124692</v>
      </c>
      <c r="G106" s="34">
        <f t="shared" si="85"/>
        <v>1.0235394544374898</v>
      </c>
      <c r="H106" s="6"/>
      <c r="I106" s="16"/>
      <c r="J106" s="33"/>
      <c r="K106" s="35">
        <f t="shared" si="86"/>
        <v>23.435053093500247</v>
      </c>
      <c r="L106" s="16">
        <f t="shared" si="87"/>
        <v>22.782833937171308</v>
      </c>
      <c r="M106" s="16">
        <f t="shared" si="88"/>
        <v>22.217887030671555</v>
      </c>
      <c r="N106" s="16">
        <f t="shared" si="92"/>
        <v>22.287992358663306</v>
      </c>
      <c r="O106" s="7"/>
      <c r="P106" s="57">
        <f t="shared" si="94"/>
        <v>-0.33810168411908081</v>
      </c>
      <c r="Q106" s="57">
        <f t="shared" si="93"/>
        <v>1.9473702219931187E-3</v>
      </c>
      <c r="R106" s="62"/>
    </row>
    <row r="107" spans="1:18">
      <c r="A107" s="5">
        <v>93</v>
      </c>
      <c r="B107" s="6">
        <v>0.8</v>
      </c>
      <c r="C107" s="35">
        <f t="shared" si="89"/>
        <v>22.259471771290141</v>
      </c>
      <c r="D107" s="35">
        <f t="shared" si="90"/>
        <v>-2.1553184365264162E-2</v>
      </c>
      <c r="E107" s="35">
        <f t="shared" si="91"/>
        <v>320.97201052756594</v>
      </c>
      <c r="F107" s="33">
        <f t="shared" si="84"/>
        <v>3064.6595530957925</v>
      </c>
      <c r="G107" s="34">
        <f t="shared" si="85"/>
        <v>1.0215531843652641</v>
      </c>
      <c r="H107" s="6"/>
      <c r="I107" s="16"/>
      <c r="J107" s="33"/>
      <c r="K107" s="35">
        <f t="shared" si="86"/>
        <v>23.48272357523366</v>
      </c>
      <c r="L107" s="16">
        <f t="shared" si="87"/>
        <v>22.705242473456359</v>
      </c>
      <c r="M107" s="16">
        <f t="shared" si="88"/>
        <v>22.187966048690019</v>
      </c>
      <c r="N107" s="16">
        <f t="shared" si="92"/>
        <v>22.259471771290141</v>
      </c>
      <c r="O107" s="7"/>
      <c r="P107" s="57">
        <f t="shared" si="94"/>
        <v>-0.35965486848434497</v>
      </c>
      <c r="Q107" s="57">
        <f t="shared" si="93"/>
        <v>1.9862700722255815E-3</v>
      </c>
      <c r="R107" s="62"/>
    </row>
    <row r="108" spans="1:18">
      <c r="A108" s="5">
        <v>94</v>
      </c>
      <c r="B108" s="6">
        <v>0.8</v>
      </c>
      <c r="C108" s="35">
        <f t="shared" si="89"/>
        <v>22.236094523037551</v>
      </c>
      <c r="D108" s="35">
        <f t="shared" si="90"/>
        <v>-1.957645577937607E-2</v>
      </c>
      <c r="E108" s="35">
        <f t="shared" si="91"/>
        <v>320.35092240587994</v>
      </c>
      <c r="F108" s="33">
        <f t="shared" si="84"/>
        <v>3058.7293673381282</v>
      </c>
      <c r="G108" s="34">
        <f t="shared" si="85"/>
        <v>1.0195764557793761</v>
      </c>
      <c r="H108" s="6"/>
      <c r="I108" s="16"/>
      <c r="J108" s="33"/>
      <c r="K108" s="35">
        <f t="shared" si="86"/>
        <v>23.530165061294973</v>
      </c>
      <c r="L108" s="16">
        <f t="shared" si="87"/>
        <v>22.634767232650603</v>
      </c>
      <c r="M108" s="16">
        <f t="shared" si="88"/>
        <v>22.164932293945579</v>
      </c>
      <c r="N108" s="16">
        <f t="shared" si="92"/>
        <v>22.236094523037551</v>
      </c>
      <c r="O108" s="7"/>
      <c r="P108" s="57">
        <f t="shared" si="94"/>
        <v>-0.37923132426372103</v>
      </c>
      <c r="Q108" s="57">
        <f t="shared" si="93"/>
        <v>1.976728585888092E-3</v>
      </c>
      <c r="R108" s="62"/>
    </row>
    <row r="109" spans="1:18">
      <c r="A109" s="5">
        <v>95</v>
      </c>
      <c r="B109" s="6">
        <v>0.8</v>
      </c>
      <c r="C109" s="35">
        <f t="shared" si="89"/>
        <v>22.217187419493108</v>
      </c>
      <c r="D109" s="35">
        <f t="shared" si="90"/>
        <v>-1.7646733037972203E-2</v>
      </c>
      <c r="E109" s="35">
        <f t="shared" si="91"/>
        <v>319.74460352053086</v>
      </c>
      <c r="F109" s="33">
        <f t="shared" si="84"/>
        <v>3052.9401991139166</v>
      </c>
      <c r="G109" s="34">
        <f t="shared" si="85"/>
        <v>1.0176467330379722</v>
      </c>
      <c r="H109" s="6"/>
      <c r="I109" s="16"/>
      <c r="J109" s="33"/>
      <c r="K109" s="35">
        <f t="shared" si="86"/>
        <v>23.576478407088668</v>
      </c>
      <c r="L109" s="16">
        <f t="shared" si="87"/>
        <v>22.571238993713905</v>
      </c>
      <c r="M109" s="16">
        <f t="shared" si="88"/>
        <v>22.14771740080257</v>
      </c>
      <c r="N109" s="16">
        <f t="shared" si="92"/>
        <v>22.217187419493108</v>
      </c>
      <c r="O109" s="7"/>
      <c r="P109" s="57">
        <f t="shared" si="94"/>
        <v>-0.39687805730169323</v>
      </c>
      <c r="Q109" s="57">
        <f t="shared" si="93"/>
        <v>1.9297227414038672E-3</v>
      </c>
      <c r="R109" s="62"/>
    </row>
    <row r="110" spans="1:18">
      <c r="A110" s="5">
        <v>96</v>
      </c>
      <c r="B110" s="6">
        <v>0.8</v>
      </c>
      <c r="C110" s="35">
        <f t="shared" si="89"/>
        <v>22.202135809047601</v>
      </c>
      <c r="D110" s="35">
        <f t="shared" si="90"/>
        <v>-1.57922260068129E-2</v>
      </c>
      <c r="E110" s="35">
        <f t="shared" si="91"/>
        <v>319.1619174113406</v>
      </c>
      <c r="F110" s="33">
        <f t="shared" si="84"/>
        <v>3047.3766780204387</v>
      </c>
      <c r="G110" s="34">
        <f t="shared" si="85"/>
        <v>1.0157922260068128</v>
      </c>
      <c r="H110" s="6"/>
      <c r="I110" s="16"/>
      <c r="J110" s="33"/>
      <c r="K110" s="35">
        <f t="shared" si="86"/>
        <v>23.62098657583649</v>
      </c>
      <c r="L110" s="16">
        <f t="shared" si="87"/>
        <v>22.514386980089377</v>
      </c>
      <c r="M110" s="16">
        <f t="shared" si="88"/>
        <v>22.135373555925867</v>
      </c>
      <c r="N110" s="16">
        <f t="shared" si="92"/>
        <v>22.202135809047601</v>
      </c>
      <c r="O110" s="7"/>
      <c r="P110" s="57">
        <f t="shared" si="94"/>
        <v>-0.41267028330850614</v>
      </c>
      <c r="Q110" s="57">
        <f t="shared" si="93"/>
        <v>1.8545070311593026E-3</v>
      </c>
      <c r="R110" s="62"/>
    </row>
    <row r="111" spans="1:18">
      <c r="A111" s="5">
        <v>97</v>
      </c>
      <c r="B111" s="6">
        <v>0.8</v>
      </c>
      <c r="C111" s="35">
        <f t="shared" si="89"/>
        <v>22.19038486130917</v>
      </c>
      <c r="D111" s="35">
        <f t="shared" si="90"/>
        <v>-1.4033368789708674E-2</v>
      </c>
      <c r="E111" s="35">
        <f t="shared" si="91"/>
        <v>318.60928447372646</v>
      </c>
      <c r="F111" s="33">
        <f t="shared" si="84"/>
        <v>3042.100106369126</v>
      </c>
      <c r="G111" s="34">
        <f t="shared" si="85"/>
        <v>1.0140333687897087</v>
      </c>
      <c r="H111" s="6"/>
      <c r="I111" s="16"/>
      <c r="J111" s="33"/>
      <c r="K111" s="35">
        <f t="shared" si="86"/>
        <v>23.663199149046992</v>
      </c>
      <c r="L111" s="16">
        <f t="shared" si="87"/>
        <v>22.463866852446426</v>
      </c>
      <c r="M111" s="16">
        <f t="shared" si="88"/>
        <v>22.127066001493418</v>
      </c>
      <c r="N111" s="16">
        <f t="shared" si="92"/>
        <v>22.19038486130917</v>
      </c>
      <c r="O111" s="7"/>
      <c r="P111" s="57">
        <f t="shared" si="94"/>
        <v>-0.42670365209821481</v>
      </c>
      <c r="Q111" s="57">
        <f t="shared" si="93"/>
        <v>1.758857217104226E-3</v>
      </c>
      <c r="R111" s="62"/>
    </row>
    <row r="112" spans="1:18">
      <c r="A112" s="5">
        <v>98</v>
      </c>
      <c r="B112" s="6">
        <v>0.8</v>
      </c>
      <c r="C112" s="35">
        <f t="shared" si="89"/>
        <v>22.181436707490679</v>
      </c>
      <c r="D112" s="35">
        <f t="shared" si="90"/>
        <v>-1.2384141845680157E-2</v>
      </c>
      <c r="E112" s="35">
        <f t="shared" si="91"/>
        <v>318.09109736791271</v>
      </c>
      <c r="F112" s="33">
        <f t="shared" si="84"/>
        <v>3037.1524255370405</v>
      </c>
      <c r="G112" s="34">
        <f t="shared" si="85"/>
        <v>1.0123841418456803</v>
      </c>
      <c r="H112" s="6"/>
      <c r="I112" s="16"/>
      <c r="J112" s="33"/>
      <c r="K112" s="35">
        <f t="shared" si="86"/>
        <v>23.702780595703675</v>
      </c>
      <c r="L112" s="16">
        <f t="shared" si="87"/>
        <v>22.419283941801979</v>
      </c>
      <c r="M112" s="16">
        <f t="shared" si="88"/>
        <v>22.122064537505654</v>
      </c>
      <c r="N112" s="16">
        <f t="shared" si="92"/>
        <v>22.181436707490679</v>
      </c>
      <c r="O112" s="7"/>
      <c r="P112" s="57">
        <f t="shared" si="94"/>
        <v>-0.43908779394389497</v>
      </c>
      <c r="Q112" s="57">
        <f t="shared" si="93"/>
        <v>1.649226944028517E-3</v>
      </c>
      <c r="R112" s="62"/>
    </row>
    <row r="113" spans="1:18" ht="16" thickBot="1">
      <c r="A113" s="8">
        <v>99</v>
      </c>
      <c r="B113" s="9">
        <v>0.8</v>
      </c>
      <c r="C113" s="35">
        <f t="shared" si="89"/>
        <v>22.174847996124502</v>
      </c>
      <c r="D113" s="35">
        <f t="shared" si="90"/>
        <v>-1.0853224089967929E-2</v>
      </c>
      <c r="E113" s="35">
        <f t="shared" si="91"/>
        <v>317.61008300906792</v>
      </c>
      <c r="F113" s="36">
        <f t="shared" si="84"/>
        <v>3032.5596722699038</v>
      </c>
      <c r="G113" s="37">
        <f t="shared" si="85"/>
        <v>1.0108532240899679</v>
      </c>
      <c r="H113" s="6"/>
      <c r="I113" s="16"/>
      <c r="J113" s="33"/>
      <c r="K113" s="35">
        <f t="shared" si="86"/>
        <v>23.73952262184077</v>
      </c>
      <c r="L113" s="16">
        <f t="shared" si="87"/>
        <v>22.380212335078092</v>
      </c>
      <c r="M113" s="16">
        <f t="shared" si="88"/>
        <v>22.119734956918862</v>
      </c>
      <c r="N113" s="16">
        <f t="shared" si="92"/>
        <v>22.174847996124502</v>
      </c>
      <c r="O113" s="11"/>
      <c r="P113" s="57">
        <f t="shared" si="94"/>
        <v>-0.44994101803386288</v>
      </c>
      <c r="Q113" s="57">
        <f t="shared" si="93"/>
        <v>1.5309177557122286E-3</v>
      </c>
      <c r="R113" s="62"/>
    </row>
  </sheetData>
  <mergeCells count="1">
    <mergeCell ref="A11:E1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3"/>
  <sheetViews>
    <sheetView topLeftCell="A75" workbookViewId="0">
      <selection activeCell="R12" sqref="R12"/>
    </sheetView>
  </sheetViews>
  <sheetFormatPr baseColWidth="10" defaultRowHeight="15" x14ac:dyDescent="0"/>
  <cols>
    <col min="2" max="2" width="14.33203125" customWidth="1"/>
    <col min="3" max="3" width="10.5" customWidth="1"/>
    <col min="4" max="4" width="10.83203125" customWidth="1"/>
  </cols>
  <sheetData>
    <row r="1" spans="1:25" ht="16" thickBot="1">
      <c r="A1" s="2" t="s">
        <v>0</v>
      </c>
      <c r="B1" s="2" t="s">
        <v>5</v>
      </c>
      <c r="C1" s="3" t="s">
        <v>4</v>
      </c>
      <c r="D1" s="48">
        <v>3000</v>
      </c>
      <c r="E1" s="3" t="s">
        <v>26</v>
      </c>
      <c r="F1" s="4"/>
      <c r="G1" s="2" t="s">
        <v>25</v>
      </c>
      <c r="H1" s="3"/>
      <c r="I1" s="3"/>
      <c r="J1" s="12"/>
      <c r="K1" t="s">
        <v>48</v>
      </c>
      <c r="P1" s="6">
        <v>60</v>
      </c>
      <c r="R1" s="61" t="s">
        <v>65</v>
      </c>
      <c r="S1" s="3"/>
      <c r="T1" s="3"/>
      <c r="U1" s="3"/>
      <c r="V1" s="3" t="s">
        <v>52</v>
      </c>
      <c r="W1" s="3" t="s">
        <v>66</v>
      </c>
      <c r="X1" s="3"/>
      <c r="Y1" s="4"/>
    </row>
    <row r="2" spans="1:25">
      <c r="A2" s="5"/>
      <c r="B2" s="5" t="s">
        <v>6</v>
      </c>
      <c r="C2" s="6" t="s">
        <v>7</v>
      </c>
      <c r="D2" s="6">
        <v>3</v>
      </c>
      <c r="E2" s="6" t="s">
        <v>8</v>
      </c>
      <c r="F2" s="7"/>
      <c r="G2" s="5" t="s">
        <v>27</v>
      </c>
      <c r="H2" s="13" t="s">
        <v>28</v>
      </c>
      <c r="I2" s="14">
        <f>D3*60/(2*3.142*D1)</f>
        <v>0.14322087842138764</v>
      </c>
      <c r="J2" s="6" t="s">
        <v>32</v>
      </c>
      <c r="K2" s="21" t="s">
        <v>40</v>
      </c>
      <c r="L2" s="3"/>
      <c r="M2" s="3" t="s">
        <v>41</v>
      </c>
      <c r="N2" s="3">
        <f>D1*D4/I3</f>
        <v>4800</v>
      </c>
      <c r="O2" s="3" t="s">
        <v>26</v>
      </c>
      <c r="P2" s="3"/>
      <c r="Q2" s="4"/>
      <c r="R2" s="5" t="s">
        <v>78</v>
      </c>
      <c r="S2" s="6" t="s">
        <v>13</v>
      </c>
      <c r="T2" s="6"/>
      <c r="U2" s="6">
        <v>36</v>
      </c>
      <c r="V2" s="6" t="s">
        <v>3</v>
      </c>
      <c r="W2" s="6" t="s">
        <v>72</v>
      </c>
      <c r="X2" s="6"/>
      <c r="Y2" s="7"/>
    </row>
    <row r="3" spans="1:25">
      <c r="A3" s="5"/>
      <c r="B3" s="5" t="s">
        <v>9</v>
      </c>
      <c r="C3" s="6" t="s">
        <v>10</v>
      </c>
      <c r="D3" s="6">
        <v>45</v>
      </c>
      <c r="E3" s="6" t="s">
        <v>11</v>
      </c>
      <c r="F3" s="7"/>
      <c r="G3" s="13" t="s">
        <v>31</v>
      </c>
      <c r="H3" s="13" t="s">
        <v>14</v>
      </c>
      <c r="I3" s="14">
        <f>D3/D2</f>
        <v>15</v>
      </c>
      <c r="J3" s="6" t="s">
        <v>3</v>
      </c>
      <c r="K3" s="5"/>
      <c r="L3" s="6"/>
      <c r="M3" s="6" t="s">
        <v>41</v>
      </c>
      <c r="N3" s="6">
        <f>I6*D4*60/(2*3.142)</f>
        <v>4800</v>
      </c>
      <c r="O3" s="6" t="s">
        <v>26</v>
      </c>
      <c r="P3" s="6"/>
      <c r="Q3" s="7"/>
      <c r="R3" s="5" t="s">
        <v>79</v>
      </c>
      <c r="S3" s="6" t="s">
        <v>70</v>
      </c>
      <c r="T3" s="6" t="s">
        <v>71</v>
      </c>
      <c r="U3" s="6">
        <v>0</v>
      </c>
      <c r="V3" s="6" t="s">
        <v>3</v>
      </c>
      <c r="W3" s="6" t="s">
        <v>73</v>
      </c>
      <c r="X3" s="6"/>
      <c r="Y3" s="7"/>
    </row>
    <row r="4" spans="1:25" ht="16" thickBot="1">
      <c r="A4" s="5"/>
      <c r="B4" s="5" t="s">
        <v>12</v>
      </c>
      <c r="C4" s="6" t="s">
        <v>13</v>
      </c>
      <c r="D4" s="6">
        <v>24</v>
      </c>
      <c r="E4" s="6" t="s">
        <v>3</v>
      </c>
      <c r="F4" s="7"/>
      <c r="G4" s="5" t="s">
        <v>29</v>
      </c>
      <c r="H4" s="13" t="s">
        <v>30</v>
      </c>
      <c r="I4" s="14">
        <f>(D4-I3)/D2</f>
        <v>3</v>
      </c>
      <c r="J4" s="6" t="s">
        <v>33</v>
      </c>
      <c r="K4" s="5"/>
      <c r="L4" s="6"/>
      <c r="M4" s="6"/>
      <c r="N4" s="6"/>
      <c r="O4" s="6"/>
      <c r="P4" s="6"/>
      <c r="Q4" s="7"/>
      <c r="R4" s="8" t="s">
        <v>77</v>
      </c>
      <c r="S4" s="9" t="s">
        <v>76</v>
      </c>
      <c r="T4" s="9" t="s">
        <v>80</v>
      </c>
      <c r="U4" s="9">
        <v>0</v>
      </c>
      <c r="V4" s="9" t="s">
        <v>3</v>
      </c>
      <c r="W4" t="s">
        <v>81</v>
      </c>
      <c r="X4" s="9"/>
      <c r="Y4" s="11"/>
    </row>
    <row r="5" spans="1:25" ht="16" thickBot="1">
      <c r="A5" s="8"/>
      <c r="B5" s="8" t="s">
        <v>15</v>
      </c>
      <c r="C5" s="9" t="s">
        <v>1</v>
      </c>
      <c r="D5" s="9">
        <v>60</v>
      </c>
      <c r="E5" s="10">
        <v>9.9999999999999995E-7</v>
      </c>
      <c r="F5" s="11" t="s">
        <v>2</v>
      </c>
      <c r="G5" s="8" t="s">
        <v>38</v>
      </c>
      <c r="H5" s="9" t="s">
        <v>4</v>
      </c>
      <c r="I5" s="15">
        <f>D1/60</f>
        <v>50</v>
      </c>
      <c r="J5" s="9" t="s">
        <v>35</v>
      </c>
      <c r="K5" s="5"/>
      <c r="L5" s="6" t="s">
        <v>53</v>
      </c>
      <c r="M5" s="6" t="s">
        <v>52</v>
      </c>
      <c r="N5" s="6"/>
      <c r="O5" s="6"/>
      <c r="P5" s="6" t="s">
        <v>53</v>
      </c>
      <c r="Q5" s="7" t="s">
        <v>52</v>
      </c>
    </row>
    <row r="6" spans="1:25" ht="16" thickBot="1">
      <c r="E6" s="1"/>
      <c r="G6" s="21" t="s">
        <v>42</v>
      </c>
      <c r="H6" s="3"/>
      <c r="I6" s="22">
        <f>2*3.142*D1/(I3*60)</f>
        <v>20.946666666666665</v>
      </c>
      <c r="J6" s="27" t="s">
        <v>37</v>
      </c>
      <c r="K6" s="5" t="s">
        <v>46</v>
      </c>
      <c r="L6" s="16">
        <f>I7*D5*E5/C9</f>
        <v>7.8977312000000008</v>
      </c>
      <c r="M6" s="29">
        <v>1</v>
      </c>
      <c r="N6" s="6"/>
      <c r="O6" s="6" t="s">
        <v>49</v>
      </c>
      <c r="P6" s="14">
        <f>I6/L7</f>
        <v>2.354158177611239</v>
      </c>
      <c r="Q6" s="7" t="s">
        <v>37</v>
      </c>
    </row>
    <row r="7" spans="1:25" ht="16" thickBot="1">
      <c r="A7" s="18" t="s">
        <v>18</v>
      </c>
      <c r="B7" s="19" t="s">
        <v>19</v>
      </c>
      <c r="C7" s="19" t="s">
        <v>20</v>
      </c>
      <c r="D7" s="24">
        <v>24</v>
      </c>
      <c r="E7" s="20" t="s">
        <v>3</v>
      </c>
      <c r="G7" s="23" t="s">
        <v>43</v>
      </c>
      <c r="H7" s="9"/>
      <c r="I7" s="17">
        <f>I6*I4*D2/I2</f>
        <v>1316.2885333333334</v>
      </c>
      <c r="J7" s="28" t="s">
        <v>44</v>
      </c>
      <c r="K7" s="5" t="s">
        <v>47</v>
      </c>
      <c r="L7" s="16">
        <f>L6+1</f>
        <v>8.8977312000000008</v>
      </c>
      <c r="M7" s="29">
        <v>1</v>
      </c>
      <c r="N7" s="6"/>
      <c r="O7" s="6" t="s">
        <v>50</v>
      </c>
      <c r="P7" s="16">
        <f>I7/L7</f>
        <v>147.93529988109029</v>
      </c>
      <c r="Q7" s="7" t="s">
        <v>44</v>
      </c>
    </row>
    <row r="8" spans="1:25" ht="16" thickBot="1">
      <c r="E8" s="1"/>
      <c r="K8" s="8"/>
      <c r="L8" s="9"/>
      <c r="M8" s="9"/>
      <c r="N8" s="9"/>
      <c r="O8" s="9" t="s">
        <v>51</v>
      </c>
      <c r="P8" s="15">
        <f>L6/L7</f>
        <v>0.88761179928654177</v>
      </c>
      <c r="Q8" s="30">
        <v>1</v>
      </c>
    </row>
    <row r="9" spans="1:25" ht="16" thickBot="1">
      <c r="A9" s="18" t="s">
        <v>16</v>
      </c>
      <c r="B9" s="19" t="s">
        <v>111</v>
      </c>
      <c r="C9" s="19">
        <v>0.01</v>
      </c>
      <c r="D9" s="25" t="s">
        <v>34</v>
      </c>
      <c r="E9" s="19" t="s">
        <v>58</v>
      </c>
      <c r="F9" s="19"/>
      <c r="G9" s="26"/>
    </row>
    <row r="10" spans="1:25" ht="16" thickBot="1">
      <c r="D10" s="1"/>
    </row>
    <row r="11" spans="1:25" ht="16" thickBot="1">
      <c r="A11" s="208" t="s">
        <v>45</v>
      </c>
      <c r="B11" s="209"/>
      <c r="C11" s="209"/>
      <c r="D11" s="209"/>
      <c r="E11" s="210"/>
      <c r="F11" s="42"/>
      <c r="G11" s="42"/>
      <c r="H11" s="42"/>
      <c r="I11" s="42"/>
      <c r="J11" s="45"/>
      <c r="K11" s="56" t="s">
        <v>67</v>
      </c>
      <c r="L11" s="51"/>
      <c r="M11" s="51"/>
      <c r="N11" s="52"/>
      <c r="O11" s="53"/>
    </row>
    <row r="12" spans="1:25" ht="16" thickBot="1">
      <c r="A12" s="2" t="s">
        <v>17</v>
      </c>
      <c r="B12" s="3" t="s">
        <v>22</v>
      </c>
      <c r="C12" s="49" t="s">
        <v>60</v>
      </c>
      <c r="D12" s="31" t="s">
        <v>64</v>
      </c>
      <c r="E12" s="31" t="s">
        <v>55</v>
      </c>
      <c r="F12" s="3" t="s">
        <v>56</v>
      </c>
      <c r="G12" s="32" t="s">
        <v>57</v>
      </c>
      <c r="H12" s="13" t="s">
        <v>54</v>
      </c>
      <c r="I12" s="42"/>
      <c r="J12" s="6"/>
      <c r="K12" s="54" t="s">
        <v>61</v>
      </c>
      <c r="L12" s="47" t="s">
        <v>23</v>
      </c>
      <c r="M12" s="46" t="s">
        <v>62</v>
      </c>
      <c r="N12" s="55" t="s">
        <v>63</v>
      </c>
      <c r="O12" s="55"/>
      <c r="P12" s="47" t="s">
        <v>68</v>
      </c>
      <c r="Q12" s="46" t="s">
        <v>74</v>
      </c>
      <c r="R12" s="64" t="s">
        <v>447</v>
      </c>
    </row>
    <row r="13" spans="1:25" ht="16" thickBot="1">
      <c r="A13" s="5">
        <v>-1</v>
      </c>
      <c r="B13" s="207">
        <v>1</v>
      </c>
      <c r="C13" s="38">
        <f>D7</f>
        <v>24</v>
      </c>
      <c r="D13" s="44">
        <v>0</v>
      </c>
      <c r="E13" s="50">
        <f>2*PI()*50</f>
        <v>314.15926535897933</v>
      </c>
      <c r="F13" s="39">
        <f>E13*60/(2*3.142)</f>
        <v>2999.6110632620557</v>
      </c>
      <c r="G13" s="40">
        <f>F13/$D$1</f>
        <v>0.99987035442068528</v>
      </c>
      <c r="H13" s="43" t="s">
        <v>59</v>
      </c>
      <c r="I13" s="43"/>
      <c r="J13" s="33"/>
      <c r="K13" s="23"/>
      <c r="L13" s="28"/>
      <c r="M13" s="9"/>
      <c r="N13" s="9"/>
      <c r="O13" s="11"/>
      <c r="Q13" t="s">
        <v>75</v>
      </c>
      <c r="R13" s="103">
        <f>C13/24</f>
        <v>1</v>
      </c>
    </row>
    <row r="14" spans="1:25">
      <c r="A14" s="5">
        <v>0</v>
      </c>
      <c r="B14" s="207">
        <v>1</v>
      </c>
      <c r="C14" s="35">
        <f>N14</f>
        <v>24.004142698053297</v>
      </c>
      <c r="D14" s="35">
        <f>($D$1-F14)/$D$1</f>
        <v>1.1507494592494065E-4</v>
      </c>
      <c r="E14" s="35">
        <f>($P$6*C13-$P$7*B14*$I$2+$P$8*E13)</f>
        <v>314.16384345199037</v>
      </c>
      <c r="F14" s="33">
        <f t="shared" ref="F14:F77" si="0">E14*60/(2*3.142)</f>
        <v>2999.6547751622252</v>
      </c>
      <c r="G14" s="34">
        <f t="shared" ref="G14:G77" si="1">F14/$D$1</f>
        <v>0.99988492505407511</v>
      </c>
      <c r="H14" s="6"/>
      <c r="I14" s="16"/>
      <c r="J14" s="33"/>
      <c r="K14" s="35">
        <f t="shared" ref="K14:K77" si="2">D14*$U$2+$D$7</f>
        <v>24.004142698053297</v>
      </c>
      <c r="L14" s="16">
        <f t="shared" ref="L14:L77" si="3">$U$3*P14+$D$7</f>
        <v>24</v>
      </c>
      <c r="M14" s="16">
        <f t="shared" ref="M14:M77" si="4">D14*$U$2+$U$3*P14+$D$7</f>
        <v>24.004142698053297</v>
      </c>
      <c r="N14" s="16">
        <f>D14*$U$2+$U$3*P14+$D$7 + $U$4*Q14</f>
        <v>24.004142698053297</v>
      </c>
      <c r="O14" s="7"/>
      <c r="P14" s="57">
        <f>D14</f>
        <v>1.1507494592494065E-4</v>
      </c>
      <c r="Q14" s="57">
        <f>D14-D13</f>
        <v>1.1507494592494065E-4</v>
      </c>
      <c r="R14" s="103">
        <f t="shared" ref="R14:R77" si="5">C14/24</f>
        <v>1.0001726124188874</v>
      </c>
    </row>
    <row r="15" spans="1:25">
      <c r="A15" s="5">
        <v>1</v>
      </c>
      <c r="B15" s="207">
        <v>1</v>
      </c>
      <c r="C15" s="35">
        <f t="shared" ref="C15:C78" si="6">N15</f>
        <v>24.002559690760243</v>
      </c>
      <c r="D15" s="35">
        <f t="shared" ref="D15:D78" si="7">($D$1-F15)/$D$1</f>
        <v>7.1102521117912451E-5</v>
      </c>
      <c r="E15" s="35">
        <f t="shared" ref="E15:E78" si="8">($P$6*C14-$P$7*B15*$I$2+$P$8*E14)</f>
        <v>314.17765958786475</v>
      </c>
      <c r="F15" s="33">
        <f t="shared" si="0"/>
        <v>2999.7866924366463</v>
      </c>
      <c r="G15" s="34">
        <f t="shared" si="1"/>
        <v>0.99992889747888214</v>
      </c>
      <c r="H15" s="6"/>
      <c r="I15" s="16"/>
      <c r="J15" s="33"/>
      <c r="K15" s="35">
        <f t="shared" si="2"/>
        <v>24.002559690760243</v>
      </c>
      <c r="L15" s="16">
        <f t="shared" si="3"/>
        <v>24</v>
      </c>
      <c r="M15" s="16">
        <f t="shared" si="4"/>
        <v>24.002559690760243</v>
      </c>
      <c r="N15" s="16">
        <f t="shared" ref="N15:N78" si="9">D15*$U$2+$U$3*P15+$D$7 + $U$4*Q15</f>
        <v>24.002559690760243</v>
      </c>
      <c r="O15" s="7"/>
      <c r="P15" s="57">
        <f>D15+P14</f>
        <v>1.8617746704285311E-4</v>
      </c>
      <c r="Q15" s="57">
        <f t="shared" ref="Q15:Q78" si="10">D15-D14</f>
        <v>-4.3972424807028196E-5</v>
      </c>
      <c r="R15" s="103">
        <f t="shared" si="5"/>
        <v>1.0001066537816767</v>
      </c>
    </row>
    <row r="16" spans="1:25">
      <c r="A16" s="5">
        <v>2</v>
      </c>
      <c r="B16" s="207">
        <v>1</v>
      </c>
      <c r="C16" s="35">
        <f t="shared" si="6"/>
        <v>24.001581582027896</v>
      </c>
      <c r="D16" s="35">
        <f t="shared" si="7"/>
        <v>4.3932834108242483E-5</v>
      </c>
      <c r="E16" s="35">
        <f t="shared" si="8"/>
        <v>314.18619630352322</v>
      </c>
      <c r="F16" s="33">
        <f t="shared" si="0"/>
        <v>2999.8682014976753</v>
      </c>
      <c r="G16" s="34">
        <f t="shared" si="1"/>
        <v>0.9999560671658918</v>
      </c>
      <c r="H16" s="6"/>
      <c r="I16" s="16"/>
      <c r="J16" s="33"/>
      <c r="K16" s="35">
        <f t="shared" si="2"/>
        <v>24.001581582027896</v>
      </c>
      <c r="L16" s="16">
        <f t="shared" si="3"/>
        <v>24</v>
      </c>
      <c r="M16" s="16">
        <f t="shared" si="4"/>
        <v>24.001581582027896</v>
      </c>
      <c r="N16" s="16">
        <f t="shared" si="9"/>
        <v>24.001581582027896</v>
      </c>
      <c r="O16" s="7"/>
      <c r="P16" s="57">
        <f t="shared" ref="P16:P79" si="11">D16+P15</f>
        <v>2.301103011510956E-4</v>
      </c>
      <c r="Q16" s="57">
        <f t="shared" si="10"/>
        <v>-2.7169687009669968E-5</v>
      </c>
      <c r="R16" s="103">
        <f t="shared" si="5"/>
        <v>1.0000658992511624</v>
      </c>
    </row>
    <row r="17" spans="1:18">
      <c r="A17" s="5">
        <v>3</v>
      </c>
      <c r="B17" s="207">
        <v>1</v>
      </c>
      <c r="C17" s="35">
        <f t="shared" si="6"/>
        <v>24.000977228089344</v>
      </c>
      <c r="D17" s="35">
        <f t="shared" si="7"/>
        <v>2.7145224704023955E-5</v>
      </c>
      <c r="E17" s="35">
        <f t="shared" si="8"/>
        <v>314.19147097039797</v>
      </c>
      <c r="F17" s="33">
        <f t="shared" si="0"/>
        <v>2999.9185643258879</v>
      </c>
      <c r="G17" s="34">
        <f t="shared" si="1"/>
        <v>0.99997285477529596</v>
      </c>
      <c r="H17" s="6"/>
      <c r="I17" s="16"/>
      <c r="J17" s="33"/>
      <c r="K17" s="35">
        <f t="shared" si="2"/>
        <v>24.000977228089344</v>
      </c>
      <c r="L17" s="16">
        <f t="shared" si="3"/>
        <v>24</v>
      </c>
      <c r="M17" s="16">
        <f t="shared" si="4"/>
        <v>24.000977228089344</v>
      </c>
      <c r="N17" s="16">
        <f t="shared" si="9"/>
        <v>24.000977228089344</v>
      </c>
      <c r="O17" s="7"/>
      <c r="P17" s="57">
        <f t="shared" si="11"/>
        <v>2.5725552585511956E-4</v>
      </c>
      <c r="Q17" s="57">
        <f t="shared" si="10"/>
        <v>-1.6787609404218528E-5</v>
      </c>
      <c r="R17" s="103">
        <f t="shared" si="5"/>
        <v>1.0000407178370561</v>
      </c>
    </row>
    <row r="18" spans="1:18">
      <c r="A18" s="5">
        <v>4</v>
      </c>
      <c r="B18" s="207">
        <v>1</v>
      </c>
      <c r="C18" s="35">
        <f t="shared" si="6"/>
        <v>24.000603809806741</v>
      </c>
      <c r="D18" s="35">
        <f t="shared" si="7"/>
        <v>1.6772494631671482E-5</v>
      </c>
      <c r="E18" s="35">
        <f t="shared" si="8"/>
        <v>314.19473008218671</v>
      </c>
      <c r="F18" s="33">
        <f t="shared" si="0"/>
        <v>2999.949682516105</v>
      </c>
      <c r="G18" s="34">
        <f t="shared" si="1"/>
        <v>0.99998322750536828</v>
      </c>
      <c r="H18" s="6"/>
      <c r="I18" s="16"/>
      <c r="J18" s="33"/>
      <c r="K18" s="35">
        <f t="shared" si="2"/>
        <v>24.000603809806741</v>
      </c>
      <c r="L18" s="16">
        <f t="shared" si="3"/>
        <v>24</v>
      </c>
      <c r="M18" s="16">
        <f t="shared" si="4"/>
        <v>24.000603809806741</v>
      </c>
      <c r="N18" s="16">
        <f t="shared" si="9"/>
        <v>24.000603809806741</v>
      </c>
      <c r="O18" s="7"/>
      <c r="P18" s="57">
        <f t="shared" si="11"/>
        <v>2.7402802048679103E-4</v>
      </c>
      <c r="Q18" s="57">
        <f t="shared" si="10"/>
        <v>-1.0372730072352472E-5</v>
      </c>
      <c r="R18" s="103">
        <f t="shared" si="5"/>
        <v>1.0000251587419475</v>
      </c>
    </row>
    <row r="19" spans="1:18">
      <c r="A19" s="5">
        <v>5</v>
      </c>
      <c r="B19" s="207">
        <v>1</v>
      </c>
      <c r="C19" s="35">
        <f t="shared" si="6"/>
        <v>24.000373082074379</v>
      </c>
      <c r="D19" s="35">
        <f t="shared" si="7"/>
        <v>1.0363390954959565E-5</v>
      </c>
      <c r="E19" s="35">
        <f t="shared" si="8"/>
        <v>314.19674382256193</v>
      </c>
      <c r="F19" s="33">
        <f t="shared" si="0"/>
        <v>2999.9689098271351</v>
      </c>
      <c r="G19" s="34">
        <f t="shared" si="1"/>
        <v>0.99998963660904505</v>
      </c>
      <c r="H19" s="6"/>
      <c r="I19" s="16"/>
      <c r="J19" s="33"/>
      <c r="K19" s="35">
        <f t="shared" si="2"/>
        <v>24.000373082074379</v>
      </c>
      <c r="L19" s="16">
        <f t="shared" si="3"/>
        <v>24</v>
      </c>
      <c r="M19" s="16">
        <f t="shared" si="4"/>
        <v>24.000373082074379</v>
      </c>
      <c r="N19" s="16">
        <f t="shared" si="9"/>
        <v>24.000373082074379</v>
      </c>
      <c r="O19" s="7"/>
      <c r="P19" s="57">
        <f t="shared" si="11"/>
        <v>2.8439141144175062E-4</v>
      </c>
      <c r="Q19" s="57">
        <f t="shared" si="10"/>
        <v>-6.4091036767119172E-6</v>
      </c>
      <c r="R19" s="103">
        <f t="shared" si="5"/>
        <v>1.0000155450864325</v>
      </c>
    </row>
    <row r="20" spans="1:18">
      <c r="A20" s="5">
        <v>6</v>
      </c>
      <c r="B20" s="207">
        <v>1</v>
      </c>
      <c r="C20" s="35">
        <f t="shared" si="6"/>
        <v>24.000230519995977</v>
      </c>
      <c r="D20" s="35">
        <f t="shared" si="7"/>
        <v>6.4033332215937357E-6</v>
      </c>
      <c r="E20" s="35">
        <f t="shared" si="8"/>
        <v>314.19798807270172</v>
      </c>
      <c r="F20" s="33">
        <f t="shared" si="0"/>
        <v>2999.9807900003352</v>
      </c>
      <c r="G20" s="34">
        <f t="shared" si="1"/>
        <v>0.99999359666677845</v>
      </c>
      <c r="H20" s="6"/>
      <c r="I20" s="16"/>
      <c r="J20" s="33"/>
      <c r="K20" s="35">
        <f t="shared" si="2"/>
        <v>24.000230519995977</v>
      </c>
      <c r="L20" s="16">
        <f t="shared" si="3"/>
        <v>24</v>
      </c>
      <c r="M20" s="16">
        <f t="shared" si="4"/>
        <v>24.000230519995977</v>
      </c>
      <c r="N20" s="16">
        <f t="shared" si="9"/>
        <v>24.000230519995977</v>
      </c>
      <c r="O20" s="7"/>
      <c r="P20" s="57">
        <f t="shared" si="11"/>
        <v>2.9079474466334437E-4</v>
      </c>
      <c r="Q20" s="57">
        <f t="shared" si="10"/>
        <v>-3.9600577333658296E-6</v>
      </c>
      <c r="R20" s="103">
        <f t="shared" si="5"/>
        <v>1.0000096049998324</v>
      </c>
    </row>
    <row r="21" spans="1:18">
      <c r="A21" s="5">
        <v>7</v>
      </c>
      <c r="B21" s="207">
        <v>1</v>
      </c>
      <c r="C21" s="35">
        <f t="shared" si="6"/>
        <v>24.000142433722221</v>
      </c>
      <c r="D21" s="35">
        <f t="shared" si="7"/>
        <v>3.9564922838811373E-6</v>
      </c>
      <c r="E21" s="35">
        <f t="shared" si="8"/>
        <v>314.19875687012438</v>
      </c>
      <c r="F21" s="33">
        <f t="shared" si="0"/>
        <v>2999.9881305231484</v>
      </c>
      <c r="G21" s="34">
        <f t="shared" si="1"/>
        <v>0.99999604350771609</v>
      </c>
      <c r="H21" s="6"/>
      <c r="I21" s="16"/>
      <c r="J21" s="33"/>
      <c r="K21" s="35">
        <f t="shared" si="2"/>
        <v>24.000142433722221</v>
      </c>
      <c r="L21" s="16">
        <f t="shared" si="3"/>
        <v>24</v>
      </c>
      <c r="M21" s="16">
        <f t="shared" si="4"/>
        <v>24.000142433722221</v>
      </c>
      <c r="N21" s="16">
        <f t="shared" si="9"/>
        <v>24.000142433722221</v>
      </c>
      <c r="O21" s="7"/>
      <c r="P21" s="57">
        <f t="shared" si="11"/>
        <v>2.9475123694722551E-4</v>
      </c>
      <c r="Q21" s="57">
        <f t="shared" si="10"/>
        <v>-2.4468409377125984E-6</v>
      </c>
      <c r="R21" s="103">
        <f t="shared" si="5"/>
        <v>1.0000059347384258</v>
      </c>
    </row>
    <row r="22" spans="1:18">
      <c r="A22" s="5">
        <v>8</v>
      </c>
      <c r="B22" s="207">
        <v>1</v>
      </c>
      <c r="C22" s="35">
        <f t="shared" si="6"/>
        <v>24.000088006965029</v>
      </c>
      <c r="D22" s="35">
        <f t="shared" si="7"/>
        <v>2.444637917506043E-6</v>
      </c>
      <c r="E22" s="35">
        <f t="shared" si="8"/>
        <v>314.19923189476629</v>
      </c>
      <c r="F22" s="33">
        <f t="shared" si="0"/>
        <v>2999.9926660862475</v>
      </c>
      <c r="G22" s="34">
        <f t="shared" si="1"/>
        <v>0.99999755536208246</v>
      </c>
      <c r="H22" s="6"/>
      <c r="I22" s="16"/>
      <c r="J22" s="33"/>
      <c r="K22" s="35">
        <f t="shared" si="2"/>
        <v>24.000088006965029</v>
      </c>
      <c r="L22" s="16">
        <f t="shared" si="3"/>
        <v>24</v>
      </c>
      <c r="M22" s="16">
        <f t="shared" si="4"/>
        <v>24.000088006965029</v>
      </c>
      <c r="N22" s="16">
        <f t="shared" si="9"/>
        <v>24.000088006965029</v>
      </c>
      <c r="O22" s="7"/>
      <c r="P22" s="57">
        <f t="shared" si="11"/>
        <v>2.9719587486473154E-4</v>
      </c>
      <c r="Q22" s="57">
        <f t="shared" si="10"/>
        <v>-1.5118543663750943E-6</v>
      </c>
      <c r="R22" s="103">
        <f t="shared" si="5"/>
        <v>1.0000036669568761</v>
      </c>
    </row>
    <row r="23" spans="1:18">
      <c r="A23" s="5">
        <v>9</v>
      </c>
      <c r="B23" s="207">
        <v>1</v>
      </c>
      <c r="C23" s="35">
        <f t="shared" si="6"/>
        <v>24.000054377753905</v>
      </c>
      <c r="D23" s="35">
        <f t="shared" si="7"/>
        <v>1.5104931640053111E-6</v>
      </c>
      <c r="E23" s="35">
        <f t="shared" si="8"/>
        <v>314.19952540304786</v>
      </c>
      <c r="F23" s="33">
        <f t="shared" si="0"/>
        <v>2999.995468520508</v>
      </c>
      <c r="G23" s="34">
        <f t="shared" si="1"/>
        <v>0.99999848950683601</v>
      </c>
      <c r="H23" s="6"/>
      <c r="I23" s="16"/>
      <c r="J23" s="33"/>
      <c r="K23" s="35">
        <f t="shared" si="2"/>
        <v>24.000054377753905</v>
      </c>
      <c r="L23" s="16">
        <f t="shared" si="3"/>
        <v>24</v>
      </c>
      <c r="M23" s="16">
        <f t="shared" si="4"/>
        <v>24.000054377753905</v>
      </c>
      <c r="N23" s="16">
        <f t="shared" si="9"/>
        <v>24.000054377753905</v>
      </c>
      <c r="O23" s="7"/>
      <c r="P23" s="57">
        <f t="shared" si="11"/>
        <v>2.9870636802873686E-4</v>
      </c>
      <c r="Q23" s="57">
        <f t="shared" si="10"/>
        <v>-9.341447535007319E-7</v>
      </c>
      <c r="R23" s="103">
        <f t="shared" si="5"/>
        <v>1.000002265739746</v>
      </c>
    </row>
    <row r="24" spans="1:18">
      <c r="A24" s="5">
        <v>10</v>
      </c>
      <c r="B24" s="207">
        <v>1.1000000000000001</v>
      </c>
      <c r="C24" s="35">
        <f t="shared" si="6"/>
        <v>24.242792112474049</v>
      </c>
      <c r="D24" s="35">
        <f t="shared" si="7"/>
        <v>6.7442253465013289E-3</v>
      </c>
      <c r="E24" s="35">
        <f t="shared" si="8"/>
        <v>312.08096439612927</v>
      </c>
      <c r="F24" s="33">
        <f t="shared" si="0"/>
        <v>2979.767323960496</v>
      </c>
      <c r="G24" s="34">
        <f t="shared" si="1"/>
        <v>0.99325577465349868</v>
      </c>
      <c r="H24" s="6"/>
      <c r="I24" s="16"/>
      <c r="J24" s="33"/>
      <c r="K24" s="35">
        <f t="shared" si="2"/>
        <v>24.242792112474049</v>
      </c>
      <c r="L24" s="16">
        <f t="shared" si="3"/>
        <v>24</v>
      </c>
      <c r="M24" s="16">
        <f t="shared" si="4"/>
        <v>24.242792112474049</v>
      </c>
      <c r="N24" s="16">
        <f t="shared" si="9"/>
        <v>24.242792112474049</v>
      </c>
      <c r="O24" s="7"/>
      <c r="P24" s="57">
        <f t="shared" si="11"/>
        <v>7.0429317145300659E-3</v>
      </c>
      <c r="Q24" s="57">
        <f t="shared" si="10"/>
        <v>6.7427148533373239E-3</v>
      </c>
      <c r="R24" s="103">
        <f t="shared" si="5"/>
        <v>1.010116338019752</v>
      </c>
    </row>
    <row r="25" spans="1:18">
      <c r="A25" s="5">
        <v>11</v>
      </c>
      <c r="B25" s="207">
        <v>1.2</v>
      </c>
      <c r="C25" s="35">
        <f t="shared" si="6"/>
        <v>24.635533446083699</v>
      </c>
      <c r="D25" s="35">
        <f t="shared" si="7"/>
        <v>1.7653706835658339E-2</v>
      </c>
      <c r="E25" s="35">
        <f t="shared" si="8"/>
        <v>308.65320531223614</v>
      </c>
      <c r="F25" s="33">
        <f t="shared" si="0"/>
        <v>2947.038879493025</v>
      </c>
      <c r="G25" s="34">
        <f t="shared" si="1"/>
        <v>0.98234629316434163</v>
      </c>
      <c r="H25" s="6"/>
      <c r="I25" s="16"/>
      <c r="J25" s="33"/>
      <c r="K25" s="35">
        <f t="shared" si="2"/>
        <v>24.635533446083699</v>
      </c>
      <c r="L25" s="16">
        <f t="shared" si="3"/>
        <v>24</v>
      </c>
      <c r="M25" s="16">
        <f t="shared" si="4"/>
        <v>24.635533446083699</v>
      </c>
      <c r="N25" s="16">
        <f t="shared" si="9"/>
        <v>24.635533446083699</v>
      </c>
      <c r="O25" s="7"/>
      <c r="P25" s="57">
        <f t="shared" si="11"/>
        <v>2.4696638550188405E-2</v>
      </c>
      <c r="Q25" s="57">
        <f t="shared" si="10"/>
        <v>1.090948148915701E-2</v>
      </c>
      <c r="R25" s="103">
        <f t="shared" si="5"/>
        <v>1.0264805602534874</v>
      </c>
    </row>
    <row r="26" spans="1:18">
      <c r="A26" s="5">
        <v>12</v>
      </c>
      <c r="B26" s="207">
        <v>1.3</v>
      </c>
      <c r="C26" s="35">
        <f t="shared" si="6"/>
        <v>25.120959021011767</v>
      </c>
      <c r="D26" s="35">
        <f t="shared" si="7"/>
        <v>3.1137750583660213E-2</v>
      </c>
      <c r="E26" s="35">
        <f t="shared" si="8"/>
        <v>304.41651876661393</v>
      </c>
      <c r="F26" s="33">
        <f t="shared" si="0"/>
        <v>2906.5867482490194</v>
      </c>
      <c r="G26" s="34">
        <f t="shared" si="1"/>
        <v>0.9688622494163398</v>
      </c>
      <c r="H26" s="6"/>
      <c r="I26" s="16"/>
      <c r="J26" s="33"/>
      <c r="K26" s="35">
        <f t="shared" si="2"/>
        <v>25.120959021011767</v>
      </c>
      <c r="L26" s="16">
        <f t="shared" si="3"/>
        <v>24</v>
      </c>
      <c r="M26" s="16">
        <f t="shared" si="4"/>
        <v>25.120959021011767</v>
      </c>
      <c r="N26" s="16">
        <f t="shared" si="9"/>
        <v>25.120959021011767</v>
      </c>
      <c r="O26" s="7"/>
      <c r="P26" s="57">
        <f t="shared" si="11"/>
        <v>5.5834389133848618E-2</v>
      </c>
      <c r="Q26" s="57">
        <f t="shared" si="10"/>
        <v>1.3484043748001873E-2</v>
      </c>
      <c r="R26" s="103">
        <f t="shared" si="5"/>
        <v>1.0467066258754902</v>
      </c>
    </row>
    <row r="27" spans="1:18">
      <c r="A27" s="5">
        <v>13</v>
      </c>
      <c r="B27" s="207">
        <v>1.4</v>
      </c>
      <c r="C27" s="35">
        <f t="shared" si="6"/>
        <v>25.663652345862939</v>
      </c>
      <c r="D27" s="35">
        <f t="shared" si="7"/>
        <v>4.621256516285939E-2</v>
      </c>
      <c r="E27" s="35">
        <f t="shared" si="8"/>
        <v>299.68001202582957</v>
      </c>
      <c r="F27" s="33">
        <f t="shared" si="0"/>
        <v>2861.3623045114218</v>
      </c>
      <c r="G27" s="34">
        <f t="shared" si="1"/>
        <v>0.95378743483714057</v>
      </c>
      <c r="H27" s="6"/>
      <c r="I27" s="16"/>
      <c r="J27" s="33"/>
      <c r="K27" s="35">
        <f t="shared" si="2"/>
        <v>25.663652345862939</v>
      </c>
      <c r="L27" s="16">
        <f t="shared" si="3"/>
        <v>24</v>
      </c>
      <c r="M27" s="16">
        <f t="shared" si="4"/>
        <v>25.663652345862939</v>
      </c>
      <c r="N27" s="16">
        <f t="shared" si="9"/>
        <v>25.663652345862939</v>
      </c>
      <c r="O27" s="7"/>
      <c r="P27" s="57">
        <f t="shared" si="11"/>
        <v>0.10204695429670801</v>
      </c>
      <c r="Q27" s="57">
        <f t="shared" si="10"/>
        <v>1.5074814579199177E-2</v>
      </c>
      <c r="R27" s="103">
        <f t="shared" si="5"/>
        <v>1.0693188477442892</v>
      </c>
    </row>
    <row r="28" spans="1:18">
      <c r="A28" s="5">
        <v>14</v>
      </c>
      <c r="B28" s="207">
        <v>1.5</v>
      </c>
      <c r="C28" s="35">
        <f t="shared" si="6"/>
        <v>26.241730274769804</v>
      </c>
      <c r="D28" s="35">
        <f t="shared" si="7"/>
        <v>6.2270285410272359E-2</v>
      </c>
      <c r="E28" s="35">
        <f t="shared" si="8"/>
        <v>294.63467632409242</v>
      </c>
      <c r="F28" s="33">
        <f t="shared" si="0"/>
        <v>2813.1891437691829</v>
      </c>
      <c r="G28" s="34">
        <f t="shared" si="1"/>
        <v>0.93772971458972765</v>
      </c>
      <c r="H28" s="6"/>
      <c r="I28" s="16"/>
      <c r="J28" s="33"/>
      <c r="K28" s="35">
        <f t="shared" si="2"/>
        <v>26.241730274769804</v>
      </c>
      <c r="L28" s="16">
        <f t="shared" si="3"/>
        <v>24</v>
      </c>
      <c r="M28" s="16">
        <f t="shared" si="4"/>
        <v>26.241730274769804</v>
      </c>
      <c r="N28" s="16">
        <f t="shared" si="9"/>
        <v>26.241730274769804</v>
      </c>
      <c r="O28" s="7"/>
      <c r="P28" s="57">
        <f t="shared" si="11"/>
        <v>0.16431723970698037</v>
      </c>
      <c r="Q28" s="57">
        <f t="shared" si="10"/>
        <v>1.605772024741297E-2</v>
      </c>
      <c r="R28" s="103">
        <f t="shared" si="5"/>
        <v>1.0934054281154084</v>
      </c>
    </row>
    <row r="29" spans="1:18">
      <c r="A29" s="5">
        <v>15</v>
      </c>
      <c r="B29" s="207">
        <v>1.6</v>
      </c>
      <c r="C29" s="35">
        <f t="shared" si="6"/>
        <v>26.841671646990921</v>
      </c>
      <c r="D29" s="35">
        <f t="shared" si="7"/>
        <v>7.8935323527525567E-2</v>
      </c>
      <c r="E29" s="35">
        <f t="shared" si="8"/>
        <v>289.39852134765147</v>
      </c>
      <c r="F29" s="33">
        <f t="shared" si="0"/>
        <v>2763.1940294174233</v>
      </c>
      <c r="G29" s="34">
        <f t="shared" si="1"/>
        <v>0.92106467647247448</v>
      </c>
      <c r="H29" s="6"/>
      <c r="I29" s="16"/>
      <c r="J29" s="33"/>
      <c r="K29" s="35">
        <f t="shared" si="2"/>
        <v>26.841671646990921</v>
      </c>
      <c r="L29" s="16">
        <f t="shared" si="3"/>
        <v>24</v>
      </c>
      <c r="M29" s="16">
        <f t="shared" si="4"/>
        <v>26.841671646990921</v>
      </c>
      <c r="N29" s="16">
        <f t="shared" si="9"/>
        <v>26.841671646990921</v>
      </c>
      <c r="O29" s="7"/>
      <c r="P29" s="57">
        <f t="shared" si="11"/>
        <v>0.24325256323450595</v>
      </c>
      <c r="Q29" s="57">
        <f t="shared" si="10"/>
        <v>1.6665038117253207E-2</v>
      </c>
      <c r="R29" s="103">
        <f t="shared" si="5"/>
        <v>1.1184029852912885</v>
      </c>
    </row>
    <row r="30" spans="1:18">
      <c r="A30" s="5">
        <v>16</v>
      </c>
      <c r="B30" s="207">
        <v>1.7</v>
      </c>
      <c r="C30" s="35">
        <f t="shared" si="6"/>
        <v>27.455122006137628</v>
      </c>
      <c r="D30" s="35">
        <f t="shared" si="7"/>
        <v>9.5975611281600773E-2</v>
      </c>
      <c r="E30" s="35">
        <f t="shared" si="8"/>
        <v>284.04446293532106</v>
      </c>
      <c r="F30" s="33">
        <f t="shared" si="0"/>
        <v>2712.0731661551977</v>
      </c>
      <c r="G30" s="34">
        <f t="shared" si="1"/>
        <v>0.90402438871839919</v>
      </c>
      <c r="H30" s="6"/>
      <c r="I30" s="16"/>
      <c r="J30" s="33"/>
      <c r="K30" s="35">
        <f t="shared" si="2"/>
        <v>27.455122006137628</v>
      </c>
      <c r="L30" s="16">
        <f t="shared" si="3"/>
        <v>24</v>
      </c>
      <c r="M30" s="16">
        <f t="shared" si="4"/>
        <v>27.455122006137628</v>
      </c>
      <c r="N30" s="16">
        <f t="shared" si="9"/>
        <v>27.455122006137628</v>
      </c>
      <c r="O30" s="7"/>
      <c r="P30" s="57">
        <f t="shared" si="11"/>
        <v>0.33922817451610671</v>
      </c>
      <c r="Q30" s="57">
        <f t="shared" si="10"/>
        <v>1.7040287754075206E-2</v>
      </c>
      <c r="R30" s="103">
        <f t="shared" si="5"/>
        <v>1.1439634169224011</v>
      </c>
    </row>
    <row r="31" spans="1:18">
      <c r="A31" s="5">
        <v>17</v>
      </c>
      <c r="B31" s="207">
        <v>1.8</v>
      </c>
      <c r="C31" s="35">
        <f t="shared" si="6"/>
        <v>28.07691929971422</v>
      </c>
      <c r="D31" s="35">
        <f t="shared" si="7"/>
        <v>0.11324775832539505</v>
      </c>
      <c r="E31" s="35">
        <f t="shared" si="8"/>
        <v>278.61755433416084</v>
      </c>
      <c r="F31" s="33">
        <f t="shared" si="0"/>
        <v>2660.2567250238149</v>
      </c>
      <c r="G31" s="34">
        <f t="shared" si="1"/>
        <v>0.88675224167460498</v>
      </c>
      <c r="H31" s="6"/>
      <c r="I31" s="16"/>
      <c r="J31" s="33"/>
      <c r="K31" s="35">
        <f t="shared" si="2"/>
        <v>28.07691929971422</v>
      </c>
      <c r="L31" s="16">
        <f t="shared" si="3"/>
        <v>24</v>
      </c>
      <c r="M31" s="16">
        <f t="shared" si="4"/>
        <v>28.07691929971422</v>
      </c>
      <c r="N31" s="16">
        <f t="shared" si="9"/>
        <v>28.07691929971422</v>
      </c>
      <c r="O31" s="7"/>
      <c r="P31" s="57">
        <f t="shared" si="11"/>
        <v>0.45247593284150178</v>
      </c>
      <c r="Q31" s="57">
        <f t="shared" si="10"/>
        <v>1.7272147043794275E-2</v>
      </c>
      <c r="R31" s="103">
        <f t="shared" si="5"/>
        <v>1.1698716374880924</v>
      </c>
    </row>
    <row r="32" spans="1:18">
      <c r="A32" s="5">
        <v>18</v>
      </c>
      <c r="B32" s="207">
        <v>1.9</v>
      </c>
      <c r="C32" s="35">
        <f t="shared" si="6"/>
        <v>28.70387399811775</v>
      </c>
      <c r="D32" s="35">
        <f t="shared" si="7"/>
        <v>0.13066316661438199</v>
      </c>
      <c r="E32" s="35">
        <f t="shared" si="8"/>
        <v>273.14563304976116</v>
      </c>
      <c r="F32" s="33">
        <f t="shared" si="0"/>
        <v>2608.0105001568541</v>
      </c>
      <c r="G32" s="34">
        <f t="shared" si="1"/>
        <v>0.86933683338561807</v>
      </c>
      <c r="H32" s="6"/>
      <c r="I32" s="16"/>
      <c r="J32" s="33"/>
      <c r="K32" s="35">
        <f t="shared" si="2"/>
        <v>28.70387399811775</v>
      </c>
      <c r="L32" s="16">
        <f t="shared" si="3"/>
        <v>24</v>
      </c>
      <c r="M32" s="16">
        <f t="shared" si="4"/>
        <v>28.70387399811775</v>
      </c>
      <c r="N32" s="16">
        <f t="shared" si="9"/>
        <v>28.70387399811775</v>
      </c>
      <c r="O32" s="7"/>
      <c r="P32" s="57">
        <f t="shared" si="11"/>
        <v>0.58313909945588382</v>
      </c>
      <c r="Q32" s="57">
        <f t="shared" si="10"/>
        <v>1.7415408288986939E-2</v>
      </c>
      <c r="R32" s="103">
        <f t="shared" si="5"/>
        <v>1.1959947499215728</v>
      </c>
    </row>
    <row r="33" spans="1:18">
      <c r="A33" s="5">
        <v>19</v>
      </c>
      <c r="B33" s="207">
        <v>2</v>
      </c>
      <c r="C33" s="35">
        <f t="shared" si="6"/>
        <v>29.33401535442211</v>
      </c>
      <c r="D33" s="35">
        <f t="shared" si="7"/>
        <v>0.14816709317839194</v>
      </c>
      <c r="E33" s="35">
        <f t="shared" si="8"/>
        <v>267.64589932334923</v>
      </c>
      <c r="F33" s="33">
        <f t="shared" si="0"/>
        <v>2555.4987204648241</v>
      </c>
      <c r="G33" s="34">
        <f t="shared" si="1"/>
        <v>0.85183290682160806</v>
      </c>
      <c r="H33" s="6"/>
      <c r="I33" s="16"/>
      <c r="J33" s="33"/>
      <c r="K33" s="35">
        <f t="shared" si="2"/>
        <v>29.33401535442211</v>
      </c>
      <c r="L33" s="16">
        <f t="shared" si="3"/>
        <v>24</v>
      </c>
      <c r="M33" s="16">
        <f t="shared" si="4"/>
        <v>29.33401535442211</v>
      </c>
      <c r="N33" s="16">
        <f t="shared" si="9"/>
        <v>29.33401535442211</v>
      </c>
      <c r="O33" s="7"/>
      <c r="P33" s="57">
        <f t="shared" si="11"/>
        <v>0.73130619263427576</v>
      </c>
      <c r="Q33" s="57">
        <f t="shared" si="10"/>
        <v>1.7503926564009953E-2</v>
      </c>
      <c r="R33" s="103">
        <f t="shared" si="5"/>
        <v>1.2222506397675879</v>
      </c>
    </row>
    <row r="34" spans="1:18">
      <c r="A34" s="5">
        <v>20</v>
      </c>
      <c r="B34" s="207">
        <v>2.1</v>
      </c>
      <c r="C34" s="35">
        <f t="shared" si="6"/>
        <v>29.966125683284911</v>
      </c>
      <c r="D34" s="35">
        <f t="shared" si="7"/>
        <v>0.16572571342458089</v>
      </c>
      <c r="E34" s="35">
        <f t="shared" si="8"/>
        <v>262.12898084199668</v>
      </c>
      <c r="F34" s="33">
        <f t="shared" si="0"/>
        <v>2502.8228597262573</v>
      </c>
      <c r="G34" s="34">
        <f t="shared" si="1"/>
        <v>0.83427428657541913</v>
      </c>
      <c r="H34" s="6"/>
      <c r="I34" s="16"/>
      <c r="J34" s="33"/>
      <c r="K34" s="35">
        <f t="shared" si="2"/>
        <v>29.966125683284911</v>
      </c>
      <c r="L34" s="16">
        <f t="shared" si="3"/>
        <v>24</v>
      </c>
      <c r="M34" s="16">
        <f t="shared" si="4"/>
        <v>29.966125683284911</v>
      </c>
      <c r="N34" s="16">
        <f t="shared" si="9"/>
        <v>29.966125683284911</v>
      </c>
      <c r="O34" s="7"/>
      <c r="P34" s="57">
        <f t="shared" si="11"/>
        <v>0.89703190605885663</v>
      </c>
      <c r="Q34" s="57">
        <f t="shared" si="10"/>
        <v>1.7558620246188955E-2</v>
      </c>
      <c r="R34" s="103">
        <f t="shared" si="5"/>
        <v>1.2485885701368713</v>
      </c>
    </row>
    <row r="35" spans="1:18">
      <c r="A35" s="5">
        <v>21</v>
      </c>
      <c r="B35" s="207">
        <v>2.2000000000000002</v>
      </c>
      <c r="C35" s="35">
        <f t="shared" si="6"/>
        <v>30.599452601143625</v>
      </c>
      <c r="D35" s="35">
        <f t="shared" si="7"/>
        <v>0.18331812780954518</v>
      </c>
      <c r="E35" s="35">
        <f t="shared" si="8"/>
        <v>256.60144424224092</v>
      </c>
      <c r="F35" s="33">
        <f t="shared" si="0"/>
        <v>2450.0456165713645</v>
      </c>
      <c r="G35" s="34">
        <f t="shared" si="1"/>
        <v>0.81668187219045485</v>
      </c>
      <c r="H35" s="6"/>
      <c r="I35" s="16"/>
      <c r="J35" s="33"/>
      <c r="K35" s="35">
        <f t="shared" si="2"/>
        <v>30.599452601143625</v>
      </c>
      <c r="L35" s="16">
        <f t="shared" si="3"/>
        <v>24</v>
      </c>
      <c r="M35" s="16">
        <f t="shared" si="4"/>
        <v>30.599452601143625</v>
      </c>
      <c r="N35" s="16">
        <f t="shared" si="9"/>
        <v>30.599452601143625</v>
      </c>
      <c r="O35" s="7"/>
      <c r="P35" s="57">
        <f t="shared" si="11"/>
        <v>1.0803500338684018</v>
      </c>
      <c r="Q35" s="57">
        <f t="shared" si="10"/>
        <v>1.7592414384964283E-2</v>
      </c>
      <c r="R35" s="103">
        <f t="shared" si="5"/>
        <v>1.2749771917143178</v>
      </c>
    </row>
    <row r="36" spans="1:18">
      <c r="A36" s="5">
        <v>22</v>
      </c>
      <c r="B36" s="207">
        <v>2.2999999999999998</v>
      </c>
      <c r="C36" s="35">
        <f t="shared" si="6"/>
        <v>31.233531225154163</v>
      </c>
      <c r="D36" s="35">
        <f t="shared" si="7"/>
        <v>0.20093142292094898</v>
      </c>
      <c r="E36" s="35">
        <f t="shared" si="8"/>
        <v>251.06734691823783</v>
      </c>
      <c r="F36" s="33">
        <f t="shared" si="0"/>
        <v>2397.205731237153</v>
      </c>
      <c r="G36" s="34">
        <f t="shared" si="1"/>
        <v>0.79906857707905099</v>
      </c>
      <c r="H36" s="6"/>
      <c r="I36" s="16"/>
      <c r="J36" s="33"/>
      <c r="K36" s="35">
        <f t="shared" si="2"/>
        <v>31.233531225154163</v>
      </c>
      <c r="L36" s="16">
        <f t="shared" si="3"/>
        <v>24</v>
      </c>
      <c r="M36" s="16">
        <f t="shared" si="4"/>
        <v>31.233531225154163</v>
      </c>
      <c r="N36" s="16">
        <f t="shared" si="9"/>
        <v>31.233531225154163</v>
      </c>
      <c r="O36" s="7"/>
      <c r="P36" s="57">
        <f t="shared" si="11"/>
        <v>1.2812814567893507</v>
      </c>
      <c r="Q36" s="57">
        <f t="shared" si="10"/>
        <v>1.7613295111403804E-2</v>
      </c>
      <c r="R36" s="103">
        <f t="shared" si="5"/>
        <v>1.3013971343814235</v>
      </c>
    </row>
    <row r="37" spans="1:18">
      <c r="A37" s="5">
        <v>23</v>
      </c>
      <c r="B37" s="207">
        <v>2.4</v>
      </c>
      <c r="C37" s="35">
        <f t="shared" si="6"/>
        <v>31.86807431345018</v>
      </c>
      <c r="D37" s="35">
        <f t="shared" si="7"/>
        <v>0.21855761981806049</v>
      </c>
      <c r="E37" s="35">
        <f t="shared" si="8"/>
        <v>245.52919585316536</v>
      </c>
      <c r="F37" s="33">
        <f t="shared" si="0"/>
        <v>2344.3271405458186</v>
      </c>
      <c r="G37" s="34">
        <f t="shared" si="1"/>
        <v>0.78144238018193957</v>
      </c>
      <c r="H37" s="6"/>
      <c r="I37" s="16"/>
      <c r="J37" s="33"/>
      <c r="K37" s="35">
        <f t="shared" si="2"/>
        <v>31.86807431345018</v>
      </c>
      <c r="L37" s="16">
        <f t="shared" si="3"/>
        <v>24</v>
      </c>
      <c r="M37" s="16">
        <f t="shared" si="4"/>
        <v>31.86807431345018</v>
      </c>
      <c r="N37" s="16">
        <f t="shared" si="9"/>
        <v>31.86807431345018</v>
      </c>
      <c r="O37" s="7"/>
      <c r="P37" s="57">
        <f t="shared" si="11"/>
        <v>1.4998390766074112</v>
      </c>
      <c r="Q37" s="57">
        <f t="shared" si="10"/>
        <v>1.7626196897111507E-2</v>
      </c>
      <c r="R37" s="103">
        <f t="shared" si="5"/>
        <v>1.3278364297270908</v>
      </c>
    </row>
    <row r="38" spans="1:18">
      <c r="A38" s="5">
        <v>24</v>
      </c>
      <c r="B38" s="207">
        <v>2.5</v>
      </c>
      <c r="C38" s="35">
        <f t="shared" si="6"/>
        <v>32.502904384993521</v>
      </c>
      <c r="D38" s="35">
        <f t="shared" si="7"/>
        <v>0.23619178847204222</v>
      </c>
      <c r="E38" s="35">
        <f t="shared" si="8"/>
        <v>239.98854006208433</v>
      </c>
      <c r="F38" s="33">
        <f t="shared" si="0"/>
        <v>2291.4246345838733</v>
      </c>
      <c r="G38" s="34">
        <f t="shared" si="1"/>
        <v>0.76380821152795775</v>
      </c>
      <c r="H38" s="6"/>
      <c r="I38" s="16"/>
      <c r="J38" s="33"/>
      <c r="K38" s="35">
        <f t="shared" si="2"/>
        <v>32.502904384993521</v>
      </c>
      <c r="L38" s="16">
        <f t="shared" si="3"/>
        <v>24</v>
      </c>
      <c r="M38" s="16">
        <f t="shared" si="4"/>
        <v>32.502904384993521</v>
      </c>
      <c r="N38" s="16">
        <f t="shared" si="9"/>
        <v>32.502904384993521</v>
      </c>
      <c r="O38" s="7"/>
      <c r="P38" s="57">
        <f t="shared" si="11"/>
        <v>1.7360308650794534</v>
      </c>
      <c r="Q38" s="57">
        <f t="shared" si="10"/>
        <v>1.7634168653981735E-2</v>
      </c>
      <c r="R38" s="103">
        <f t="shared" si="5"/>
        <v>1.3542876827080634</v>
      </c>
    </row>
    <row r="39" spans="1:18">
      <c r="A39" s="5">
        <v>25</v>
      </c>
      <c r="B39" s="207">
        <v>2.6</v>
      </c>
      <c r="C39" s="35">
        <f t="shared" si="6"/>
        <v>33.137911777779451</v>
      </c>
      <c r="D39" s="35">
        <f t="shared" si="7"/>
        <v>0.25383088271609588</v>
      </c>
      <c r="E39" s="35">
        <f t="shared" si="8"/>
        <v>234.44633665060266</v>
      </c>
      <c r="F39" s="33">
        <f t="shared" si="0"/>
        <v>2238.5073518517124</v>
      </c>
      <c r="G39" s="34">
        <f t="shared" si="1"/>
        <v>0.74616911728390412</v>
      </c>
      <c r="H39" s="6"/>
      <c r="I39" s="16"/>
      <c r="J39" s="33"/>
      <c r="K39" s="35">
        <f t="shared" si="2"/>
        <v>33.137911777779451</v>
      </c>
      <c r="L39" s="16">
        <f t="shared" si="3"/>
        <v>24</v>
      </c>
      <c r="M39" s="16">
        <f t="shared" si="4"/>
        <v>33.137911777779451</v>
      </c>
      <c r="N39" s="16">
        <f t="shared" si="9"/>
        <v>33.137911777779451</v>
      </c>
      <c r="O39" s="7"/>
      <c r="P39" s="57">
        <f t="shared" si="11"/>
        <v>1.9898617477955494</v>
      </c>
      <c r="Q39" s="57">
        <f t="shared" si="10"/>
        <v>1.763909424405366E-2</v>
      </c>
      <c r="R39" s="103">
        <f t="shared" si="5"/>
        <v>1.3807463240741438</v>
      </c>
    </row>
    <row r="40" spans="1:18">
      <c r="A40" s="5">
        <v>26</v>
      </c>
      <c r="B40" s="207">
        <v>2.7</v>
      </c>
      <c r="C40" s="35">
        <f t="shared" si="6"/>
        <v>33.773028733835602</v>
      </c>
      <c r="D40" s="35">
        <f t="shared" si="7"/>
        <v>0.27147302038432236</v>
      </c>
      <c r="E40" s="35">
        <f t="shared" si="8"/>
        <v>228.9031769952459</v>
      </c>
      <c r="F40" s="33">
        <f t="shared" si="0"/>
        <v>2185.5809388470329</v>
      </c>
      <c r="G40" s="34">
        <f t="shared" si="1"/>
        <v>0.72852697961567769</v>
      </c>
      <c r="H40" s="6"/>
      <c r="I40" s="16"/>
      <c r="J40" s="33"/>
      <c r="K40" s="35">
        <f t="shared" si="2"/>
        <v>33.773028733835602</v>
      </c>
      <c r="L40" s="16">
        <f t="shared" si="3"/>
        <v>24</v>
      </c>
      <c r="M40" s="16">
        <f t="shared" si="4"/>
        <v>33.773028733835602</v>
      </c>
      <c r="N40" s="16">
        <f t="shared" si="9"/>
        <v>33.773028733835602</v>
      </c>
      <c r="O40" s="7"/>
      <c r="P40" s="57">
        <f t="shared" si="11"/>
        <v>2.2613347681798719</v>
      </c>
      <c r="Q40" s="57">
        <f t="shared" si="10"/>
        <v>1.7642137668226476E-2</v>
      </c>
      <c r="R40" s="103">
        <f t="shared" si="5"/>
        <v>1.4072095305764833</v>
      </c>
    </row>
    <row r="41" spans="1:18">
      <c r="A41" s="5">
        <v>27</v>
      </c>
      <c r="B41" s="207">
        <v>2.8</v>
      </c>
      <c r="C41" s="35">
        <f t="shared" si="6"/>
        <v>34.408213386858051</v>
      </c>
      <c r="D41" s="35">
        <f t="shared" si="7"/>
        <v>0.28911703852383469</v>
      </c>
      <c r="E41" s="35">
        <f t="shared" si="8"/>
        <v>223.35942649581114</v>
      </c>
      <c r="F41" s="33">
        <f t="shared" si="0"/>
        <v>2132.6488844284959</v>
      </c>
      <c r="G41" s="34">
        <f t="shared" si="1"/>
        <v>0.71088296147616525</v>
      </c>
      <c r="H41" s="6"/>
      <c r="I41" s="16"/>
      <c r="J41" s="33"/>
      <c r="K41" s="35">
        <f t="shared" si="2"/>
        <v>34.408213386858051</v>
      </c>
      <c r="L41" s="16">
        <f t="shared" si="3"/>
        <v>24</v>
      </c>
      <c r="M41" s="16">
        <f t="shared" si="4"/>
        <v>34.408213386858051</v>
      </c>
      <c r="N41" s="16">
        <f t="shared" si="9"/>
        <v>34.408213386858051</v>
      </c>
      <c r="O41" s="7"/>
      <c r="P41" s="57">
        <f t="shared" si="11"/>
        <v>2.5504518067037067</v>
      </c>
      <c r="Q41" s="57">
        <f t="shared" si="10"/>
        <v>1.764401813951233E-2</v>
      </c>
      <c r="R41" s="103">
        <f t="shared" si="5"/>
        <v>1.4336755577857521</v>
      </c>
    </row>
    <row r="42" spans="1:18">
      <c r="A42" s="5">
        <v>28</v>
      </c>
      <c r="B42" s="207">
        <v>2.9</v>
      </c>
      <c r="C42" s="35">
        <f t="shared" si="6"/>
        <v>35.043439868489976</v>
      </c>
      <c r="D42" s="35">
        <f t="shared" si="7"/>
        <v>0.30676221856916602</v>
      </c>
      <c r="E42" s="35">
        <f t="shared" si="8"/>
        <v>217.81531092556804</v>
      </c>
      <c r="F42" s="33">
        <f t="shared" si="0"/>
        <v>2079.7133442925019</v>
      </c>
      <c r="G42" s="34">
        <f t="shared" si="1"/>
        <v>0.69323778143083392</v>
      </c>
      <c r="H42" s="6"/>
      <c r="I42" s="16"/>
      <c r="J42" s="33"/>
      <c r="K42" s="35">
        <f t="shared" si="2"/>
        <v>35.043439868489976</v>
      </c>
      <c r="L42" s="16">
        <f t="shared" si="3"/>
        <v>24</v>
      </c>
      <c r="M42" s="16">
        <f t="shared" si="4"/>
        <v>35.043439868489976</v>
      </c>
      <c r="N42" s="16">
        <f t="shared" si="9"/>
        <v>35.043439868489976</v>
      </c>
      <c r="O42" s="7"/>
      <c r="P42" s="57">
        <f t="shared" si="11"/>
        <v>2.8572140252728726</v>
      </c>
      <c r="Q42" s="57">
        <f t="shared" si="10"/>
        <v>1.7645180045331332E-2</v>
      </c>
      <c r="R42" s="103">
        <f t="shared" si="5"/>
        <v>1.460143327853749</v>
      </c>
    </row>
    <row r="43" spans="1:18">
      <c r="A43" s="5">
        <v>29</v>
      </c>
      <c r="B43" s="207">
        <v>3</v>
      </c>
      <c r="C43" s="35">
        <f t="shared" si="6"/>
        <v>35.678692195188056</v>
      </c>
      <c r="D43" s="35">
        <f t="shared" si="7"/>
        <v>0.32440811653300156</v>
      </c>
      <c r="E43" s="35">
        <f t="shared" si="8"/>
        <v>212.27096978533092</v>
      </c>
      <c r="F43" s="33">
        <f t="shared" si="0"/>
        <v>2026.7756504009953</v>
      </c>
      <c r="G43" s="34">
        <f t="shared" si="1"/>
        <v>0.6755918834669985</v>
      </c>
      <c r="H43" s="6"/>
      <c r="I43" s="16"/>
      <c r="J43" s="33"/>
      <c r="K43" s="35">
        <f t="shared" si="2"/>
        <v>35.678692195188056</v>
      </c>
      <c r="L43" s="16">
        <f t="shared" si="3"/>
        <v>24</v>
      </c>
      <c r="M43" s="16">
        <f t="shared" si="4"/>
        <v>35.678692195188056</v>
      </c>
      <c r="N43" s="16">
        <f t="shared" si="9"/>
        <v>35.678692195188056</v>
      </c>
      <c r="O43" s="7"/>
      <c r="P43" s="57">
        <f t="shared" si="11"/>
        <v>3.1816221418058741</v>
      </c>
      <c r="Q43" s="57">
        <f t="shared" si="10"/>
        <v>1.7645897963835533E-2</v>
      </c>
      <c r="R43" s="103">
        <f t="shared" si="5"/>
        <v>1.4866121747995023</v>
      </c>
    </row>
    <row r="44" spans="1:18">
      <c r="A44" s="5">
        <v>30</v>
      </c>
      <c r="B44" s="207">
        <v>3.1</v>
      </c>
      <c r="C44" s="35">
        <f t="shared" si="6"/>
        <v>36.313960491038642</v>
      </c>
      <c r="D44" s="35">
        <f t="shared" si="7"/>
        <v>0.34205445808440677</v>
      </c>
      <c r="E44" s="35">
        <f t="shared" si="8"/>
        <v>206.72648926987938</v>
      </c>
      <c r="F44" s="33">
        <f t="shared" si="0"/>
        <v>1973.8366257467796</v>
      </c>
      <c r="G44" s="34">
        <f t="shared" si="1"/>
        <v>0.65794554191559318</v>
      </c>
      <c r="H44" s="6"/>
      <c r="I44" s="16"/>
      <c r="J44" s="33"/>
      <c r="K44" s="35">
        <f t="shared" si="2"/>
        <v>36.313960491038642</v>
      </c>
      <c r="L44" s="16">
        <f t="shared" si="3"/>
        <v>24</v>
      </c>
      <c r="M44" s="16">
        <f t="shared" si="4"/>
        <v>36.313960491038642</v>
      </c>
      <c r="N44" s="16">
        <f t="shared" si="9"/>
        <v>36.313960491038642</v>
      </c>
      <c r="O44" s="7"/>
      <c r="P44" s="57">
        <f t="shared" si="11"/>
        <v>3.523676599890281</v>
      </c>
      <c r="Q44" s="57">
        <f t="shared" si="10"/>
        <v>1.7646341551405209E-2</v>
      </c>
      <c r="R44" s="103">
        <f t="shared" si="5"/>
        <v>1.5130816871266102</v>
      </c>
    </row>
    <row r="45" spans="1:18">
      <c r="A45" s="5">
        <v>31</v>
      </c>
      <c r="B45" s="207">
        <v>3.2</v>
      </c>
      <c r="C45" s="35">
        <f t="shared" si="6"/>
        <v>36.949238653911067</v>
      </c>
      <c r="D45" s="35">
        <f t="shared" si="7"/>
        <v>0.3597010737197518</v>
      </c>
      <c r="E45" s="35">
        <f t="shared" si="8"/>
        <v>201.18192263725399</v>
      </c>
      <c r="F45" s="33">
        <f t="shared" si="0"/>
        <v>1920.8967788407447</v>
      </c>
      <c r="G45" s="34">
        <f t="shared" si="1"/>
        <v>0.6402989262802482</v>
      </c>
      <c r="H45" s="6"/>
      <c r="I45" s="16"/>
      <c r="J45" s="33"/>
      <c r="K45" s="35">
        <f t="shared" si="2"/>
        <v>36.949238653911067</v>
      </c>
      <c r="L45" s="16">
        <f t="shared" si="3"/>
        <v>24</v>
      </c>
      <c r="M45" s="16">
        <f t="shared" si="4"/>
        <v>36.949238653911067</v>
      </c>
      <c r="N45" s="16">
        <f t="shared" si="9"/>
        <v>36.949238653911067</v>
      </c>
      <c r="O45" s="7"/>
      <c r="P45" s="57">
        <f t="shared" si="11"/>
        <v>3.8833776736100329</v>
      </c>
      <c r="Q45" s="57">
        <f t="shared" si="10"/>
        <v>1.7646615635345031E-2</v>
      </c>
      <c r="R45" s="103">
        <f t="shared" si="5"/>
        <v>1.5395516105796279</v>
      </c>
    </row>
    <row r="46" spans="1:18">
      <c r="A46" s="5">
        <v>32</v>
      </c>
      <c r="B46" s="207">
        <v>3.3</v>
      </c>
      <c r="C46" s="35">
        <f t="shared" si="6"/>
        <v>37.584522913420088</v>
      </c>
      <c r="D46" s="35">
        <f t="shared" si="7"/>
        <v>0.37734785870611365</v>
      </c>
      <c r="E46" s="35">
        <f t="shared" si="8"/>
        <v>195.6373027945391</v>
      </c>
      <c r="F46" s="33">
        <f t="shared" si="0"/>
        <v>1867.956423881659</v>
      </c>
      <c r="G46" s="34">
        <f t="shared" si="1"/>
        <v>0.62265214129388635</v>
      </c>
      <c r="H46" s="6"/>
      <c r="I46" s="16"/>
      <c r="J46" s="33"/>
      <c r="K46" s="35">
        <f t="shared" si="2"/>
        <v>37.584522913420088</v>
      </c>
      <c r="L46" s="16">
        <f t="shared" si="3"/>
        <v>24</v>
      </c>
      <c r="M46" s="16">
        <f t="shared" si="4"/>
        <v>37.584522913420088</v>
      </c>
      <c r="N46" s="16">
        <f t="shared" si="9"/>
        <v>37.584522913420088</v>
      </c>
      <c r="O46" s="7"/>
      <c r="P46" s="57">
        <f t="shared" si="11"/>
        <v>4.2607255323161466</v>
      </c>
      <c r="Q46" s="57">
        <f t="shared" si="10"/>
        <v>1.7646784986361852E-2</v>
      </c>
      <c r="R46" s="103">
        <f t="shared" si="5"/>
        <v>1.5660217880591702</v>
      </c>
    </row>
    <row r="47" spans="1:18">
      <c r="A47" s="5">
        <v>33</v>
      </c>
      <c r="B47" s="207">
        <v>3.4</v>
      </c>
      <c r="C47" s="35">
        <f t="shared" si="6"/>
        <v>38.219810939919661</v>
      </c>
      <c r="D47" s="35">
        <f t="shared" si="7"/>
        <v>0.39499474833110176</v>
      </c>
      <c r="E47" s="35">
        <f t="shared" si="8"/>
        <v>190.09265007436781</v>
      </c>
      <c r="F47" s="33">
        <f t="shared" si="0"/>
        <v>1815.0157550066947</v>
      </c>
      <c r="G47" s="34">
        <f t="shared" si="1"/>
        <v>0.60500525166889818</v>
      </c>
      <c r="H47" s="6"/>
      <c r="I47" s="16"/>
      <c r="J47" s="33"/>
      <c r="K47" s="35">
        <f t="shared" si="2"/>
        <v>38.219810939919661</v>
      </c>
      <c r="L47" s="16">
        <f t="shared" si="3"/>
        <v>24</v>
      </c>
      <c r="M47" s="16">
        <f t="shared" si="4"/>
        <v>38.219810939919661</v>
      </c>
      <c r="N47" s="16">
        <f t="shared" si="9"/>
        <v>38.219810939919661</v>
      </c>
      <c r="O47" s="7"/>
      <c r="P47" s="57">
        <f t="shared" si="11"/>
        <v>4.6557202806472482</v>
      </c>
      <c r="Q47" s="57">
        <f t="shared" si="10"/>
        <v>1.7646889624988116E-2</v>
      </c>
      <c r="R47" s="103">
        <f t="shared" si="5"/>
        <v>1.5924921224966526</v>
      </c>
    </row>
    <row r="48" spans="1:18">
      <c r="A48" s="5">
        <v>34</v>
      </c>
      <c r="B48" s="207">
        <v>3.5</v>
      </c>
      <c r="C48" s="35">
        <f t="shared" si="6"/>
        <v>38.855101293967799</v>
      </c>
      <c r="D48" s="35">
        <f t="shared" si="7"/>
        <v>0.4126417026102166</v>
      </c>
      <c r="E48" s="35">
        <f t="shared" si="8"/>
        <v>184.54797703986992</v>
      </c>
      <c r="F48" s="33">
        <f t="shared" si="0"/>
        <v>1762.0748921693503</v>
      </c>
      <c r="G48" s="34">
        <f t="shared" si="1"/>
        <v>0.5873582973897834</v>
      </c>
      <c r="H48" s="6"/>
      <c r="I48" s="16"/>
      <c r="J48" s="33"/>
      <c r="K48" s="35">
        <f t="shared" si="2"/>
        <v>38.855101293967799</v>
      </c>
      <c r="L48" s="16">
        <f t="shared" si="3"/>
        <v>24</v>
      </c>
      <c r="M48" s="16">
        <f t="shared" si="4"/>
        <v>38.855101293967799</v>
      </c>
      <c r="N48" s="16">
        <f t="shared" si="9"/>
        <v>38.855101293967799</v>
      </c>
      <c r="O48" s="7"/>
      <c r="P48" s="57">
        <f t="shared" si="11"/>
        <v>5.0683619832574651</v>
      </c>
      <c r="Q48" s="57">
        <f t="shared" si="10"/>
        <v>1.7646954279114835E-2</v>
      </c>
      <c r="R48" s="103">
        <f t="shared" si="5"/>
        <v>1.618962553915325</v>
      </c>
    </row>
    <row r="49" spans="1:18">
      <c r="A49" s="5">
        <v>35</v>
      </c>
      <c r="B49" s="207">
        <v>3.6</v>
      </c>
      <c r="C49" s="35">
        <f t="shared" si="6"/>
        <v>39.490393086161916</v>
      </c>
      <c r="D49" s="35">
        <f t="shared" si="7"/>
        <v>0.43028869683783105</v>
      </c>
      <c r="E49" s="35">
        <f t="shared" si="8"/>
        <v>179.00329145355349</v>
      </c>
      <c r="F49" s="33">
        <f t="shared" si="0"/>
        <v>1709.1339094865068</v>
      </c>
      <c r="G49" s="34">
        <f t="shared" si="1"/>
        <v>0.56971130316216889</v>
      </c>
      <c r="H49" s="6"/>
      <c r="I49" s="16"/>
      <c r="J49" s="33"/>
      <c r="K49" s="35">
        <f t="shared" si="2"/>
        <v>39.490393086161916</v>
      </c>
      <c r="L49" s="16">
        <f t="shared" si="3"/>
        <v>24</v>
      </c>
      <c r="M49" s="16">
        <f t="shared" si="4"/>
        <v>39.490393086161916</v>
      </c>
      <c r="N49" s="16">
        <f t="shared" si="9"/>
        <v>39.490393086161916</v>
      </c>
      <c r="O49" s="7"/>
      <c r="P49" s="57">
        <f t="shared" si="11"/>
        <v>5.4986506800952961</v>
      </c>
      <c r="Q49" s="57">
        <f t="shared" si="10"/>
        <v>1.7646994227614454E-2</v>
      </c>
      <c r="R49" s="103">
        <f t="shared" si="5"/>
        <v>1.6454330452567465</v>
      </c>
    </row>
    <row r="50" spans="1:18">
      <c r="A50" s="5">
        <v>36</v>
      </c>
      <c r="B50" s="207">
        <v>3.7</v>
      </c>
      <c r="C50" s="35">
        <f t="shared" si="6"/>
        <v>40.125685766957837</v>
      </c>
      <c r="D50" s="35">
        <f t="shared" si="7"/>
        <v>0.44793571574882884</v>
      </c>
      <c r="E50" s="35">
        <f t="shared" si="8"/>
        <v>173.45859811171798</v>
      </c>
      <c r="F50" s="33">
        <f t="shared" si="0"/>
        <v>1656.1928527535135</v>
      </c>
      <c r="G50" s="34">
        <f t="shared" si="1"/>
        <v>0.55206428425117116</v>
      </c>
      <c r="H50" s="6"/>
      <c r="I50" s="16"/>
      <c r="J50" s="33"/>
      <c r="K50" s="35">
        <f t="shared" si="2"/>
        <v>40.125685766957837</v>
      </c>
      <c r="L50" s="16">
        <f t="shared" si="3"/>
        <v>24</v>
      </c>
      <c r="M50" s="16">
        <f t="shared" si="4"/>
        <v>40.125685766957837</v>
      </c>
      <c r="N50" s="16">
        <f t="shared" si="9"/>
        <v>40.125685766957837</v>
      </c>
      <c r="O50" s="7"/>
      <c r="P50" s="57">
        <f t="shared" si="11"/>
        <v>5.9465863958441254</v>
      </c>
      <c r="Q50" s="57">
        <f t="shared" si="10"/>
        <v>1.7647018910997792E-2</v>
      </c>
      <c r="R50" s="103">
        <f t="shared" si="5"/>
        <v>1.6719035736232433</v>
      </c>
    </row>
    <row r="51" spans="1:18">
      <c r="A51" s="5">
        <v>37</v>
      </c>
      <c r="B51" s="207">
        <v>3.8</v>
      </c>
      <c r="C51" s="35">
        <f t="shared" si="6"/>
        <v>40.760978996803146</v>
      </c>
      <c r="D51" s="35">
        <f t="shared" si="7"/>
        <v>0.46558274991119841</v>
      </c>
      <c r="E51" s="35">
        <f t="shared" si="8"/>
        <v>167.91389997790145</v>
      </c>
      <c r="F51" s="33">
        <f t="shared" si="0"/>
        <v>1603.2517502664048</v>
      </c>
      <c r="G51" s="34">
        <f t="shared" si="1"/>
        <v>0.53441725008880159</v>
      </c>
      <c r="H51" s="6"/>
      <c r="I51" s="16"/>
      <c r="J51" s="33"/>
      <c r="K51" s="35">
        <f t="shared" si="2"/>
        <v>40.760978996803146</v>
      </c>
      <c r="L51" s="16">
        <f t="shared" si="3"/>
        <v>24</v>
      </c>
      <c r="M51" s="16">
        <f t="shared" si="4"/>
        <v>40.760978996803146</v>
      </c>
      <c r="N51" s="16">
        <f t="shared" si="9"/>
        <v>40.760978996803146</v>
      </c>
      <c r="O51" s="7"/>
      <c r="P51" s="57">
        <f t="shared" si="11"/>
        <v>6.4121691457553238</v>
      </c>
      <c r="Q51" s="57">
        <f t="shared" si="10"/>
        <v>1.7647034162369568E-2</v>
      </c>
      <c r="R51" s="103">
        <f t="shared" si="5"/>
        <v>1.6983741248667978</v>
      </c>
    </row>
    <row r="52" spans="1:18">
      <c r="A52" s="5">
        <v>38</v>
      </c>
      <c r="B52" s="207">
        <v>3.9</v>
      </c>
      <c r="C52" s="35">
        <f t="shared" si="6"/>
        <v>41.396272565895146</v>
      </c>
      <c r="D52" s="35">
        <f t="shared" si="7"/>
        <v>0.4832297934970875</v>
      </c>
      <c r="E52" s="35">
        <f t="shared" si="8"/>
        <v>162.36919888321512</v>
      </c>
      <c r="F52" s="33">
        <f t="shared" si="0"/>
        <v>1550.3106195087375</v>
      </c>
      <c r="G52" s="34">
        <f t="shared" si="1"/>
        <v>0.5167702065029125</v>
      </c>
      <c r="H52" s="6"/>
      <c r="I52" s="16"/>
      <c r="J52" s="33"/>
      <c r="K52" s="35">
        <f t="shared" si="2"/>
        <v>41.396272565895146</v>
      </c>
      <c r="L52" s="16">
        <f t="shared" si="3"/>
        <v>24</v>
      </c>
      <c r="M52" s="16">
        <f t="shared" si="4"/>
        <v>41.396272565895146</v>
      </c>
      <c r="N52" s="16">
        <f t="shared" si="9"/>
        <v>41.396272565895146</v>
      </c>
      <c r="O52" s="7"/>
      <c r="P52" s="57">
        <f t="shared" si="11"/>
        <v>6.8953989392524111</v>
      </c>
      <c r="Q52" s="57">
        <f t="shared" si="10"/>
        <v>1.7647043585889088E-2</v>
      </c>
      <c r="R52" s="103">
        <f t="shared" si="5"/>
        <v>1.7248446902456311</v>
      </c>
    </row>
    <row r="53" spans="1:18">
      <c r="A53" s="5">
        <v>39</v>
      </c>
      <c r="B53" s="207">
        <v>4</v>
      </c>
      <c r="C53" s="35">
        <f t="shared" si="6"/>
        <v>42.031566344600947</v>
      </c>
      <c r="D53" s="35">
        <f t="shared" si="7"/>
        <v>0.50087684290558188</v>
      </c>
      <c r="E53" s="35">
        <f t="shared" si="8"/>
        <v>156.82449595906616</v>
      </c>
      <c r="F53" s="33">
        <f t="shared" si="0"/>
        <v>1497.3694712832544</v>
      </c>
      <c r="G53" s="34">
        <f t="shared" si="1"/>
        <v>0.49912315709441812</v>
      </c>
      <c r="H53" s="6"/>
      <c r="I53" s="16"/>
      <c r="J53" s="33"/>
      <c r="K53" s="35">
        <f t="shared" si="2"/>
        <v>42.031566344600947</v>
      </c>
      <c r="L53" s="16">
        <f t="shared" si="3"/>
        <v>24</v>
      </c>
      <c r="M53" s="16">
        <f t="shared" si="4"/>
        <v>42.031566344600947</v>
      </c>
      <c r="N53" s="16">
        <f t="shared" si="9"/>
        <v>42.031566344600947</v>
      </c>
      <c r="O53" s="7"/>
      <c r="P53" s="57">
        <f t="shared" si="11"/>
        <v>7.3962757821579928</v>
      </c>
      <c r="Q53" s="57">
        <f t="shared" si="10"/>
        <v>1.7647049408494375E-2</v>
      </c>
      <c r="R53" s="103">
        <f t="shared" si="5"/>
        <v>1.7513152643583727</v>
      </c>
    </row>
    <row r="54" spans="1:18">
      <c r="A54" s="5">
        <v>40</v>
      </c>
      <c r="B54" s="207">
        <v>4</v>
      </c>
      <c r="C54" s="35">
        <f t="shared" si="6"/>
        <v>42.424101739281873</v>
      </c>
      <c r="D54" s="35">
        <f t="shared" si="7"/>
        <v>0.51178060386894098</v>
      </c>
      <c r="E54" s="35">
        <f t="shared" si="8"/>
        <v>153.39853426437872</v>
      </c>
      <c r="F54" s="33">
        <f t="shared" si="0"/>
        <v>1464.6581883931769</v>
      </c>
      <c r="G54" s="34">
        <f t="shared" si="1"/>
        <v>0.48821939613105897</v>
      </c>
      <c r="H54" s="6"/>
      <c r="I54" s="16"/>
      <c r="J54" s="33"/>
      <c r="K54" s="35">
        <f t="shared" si="2"/>
        <v>42.424101739281873</v>
      </c>
      <c r="L54" s="16">
        <f t="shared" si="3"/>
        <v>24</v>
      </c>
      <c r="M54" s="16">
        <f t="shared" si="4"/>
        <v>42.424101739281873</v>
      </c>
      <c r="N54" s="16">
        <f t="shared" si="9"/>
        <v>42.424101739281873</v>
      </c>
      <c r="O54" s="7"/>
      <c r="P54" s="57">
        <f t="shared" si="11"/>
        <v>7.9080563860269333</v>
      </c>
      <c r="Q54" s="57">
        <f t="shared" si="10"/>
        <v>1.0903760963359099E-2</v>
      </c>
      <c r="R54" s="103">
        <f t="shared" si="5"/>
        <v>1.7676709058034115</v>
      </c>
    </row>
    <row r="55" spans="1:18">
      <c r="A55" s="5">
        <v>41</v>
      </c>
      <c r="B55" s="207">
        <v>4</v>
      </c>
      <c r="C55" s="35">
        <f t="shared" si="6"/>
        <v>42.666641555099375</v>
      </c>
      <c r="D55" s="35">
        <f t="shared" si="7"/>
        <v>0.51851782097498267</v>
      </c>
      <c r="E55" s="35">
        <f t="shared" si="8"/>
        <v>151.28170064966042</v>
      </c>
      <c r="F55" s="33">
        <f t="shared" si="0"/>
        <v>1444.446537075052</v>
      </c>
      <c r="G55" s="34">
        <f t="shared" si="1"/>
        <v>0.48148217902501733</v>
      </c>
      <c r="H55" s="6"/>
      <c r="I55" s="16"/>
      <c r="J55" s="33"/>
      <c r="K55" s="35">
        <f t="shared" si="2"/>
        <v>42.666641555099375</v>
      </c>
      <c r="L55" s="16">
        <f t="shared" si="3"/>
        <v>24</v>
      </c>
      <c r="M55" s="16">
        <f t="shared" si="4"/>
        <v>42.666641555099375</v>
      </c>
      <c r="N55" s="16">
        <f t="shared" si="9"/>
        <v>42.666641555099375</v>
      </c>
      <c r="O55" s="7"/>
      <c r="P55" s="57">
        <f t="shared" si="11"/>
        <v>8.4265742070019165</v>
      </c>
      <c r="Q55" s="57">
        <f t="shared" si="10"/>
        <v>6.737217106041693E-3</v>
      </c>
      <c r="R55" s="103">
        <f t="shared" si="5"/>
        <v>1.7777767314624739</v>
      </c>
    </row>
    <row r="56" spans="1:18">
      <c r="A56" s="5">
        <v>42</v>
      </c>
      <c r="B56" s="207">
        <v>4</v>
      </c>
      <c r="C56" s="35">
        <f t="shared" si="6"/>
        <v>42.816502085013127</v>
      </c>
      <c r="D56" s="35">
        <f t="shared" si="7"/>
        <v>0.52268061347258699</v>
      </c>
      <c r="E56" s="35">
        <f t="shared" si="8"/>
        <v>149.9737512469132</v>
      </c>
      <c r="F56" s="33">
        <f t="shared" si="0"/>
        <v>1431.9581595822392</v>
      </c>
      <c r="G56" s="34">
        <f t="shared" si="1"/>
        <v>0.47731938652741307</v>
      </c>
      <c r="H56" s="6"/>
      <c r="I56" s="16"/>
      <c r="J56" s="33"/>
      <c r="K56" s="35">
        <f t="shared" si="2"/>
        <v>42.816502085013127</v>
      </c>
      <c r="L56" s="16">
        <f t="shared" si="3"/>
        <v>24</v>
      </c>
      <c r="M56" s="16">
        <f t="shared" si="4"/>
        <v>42.816502085013127</v>
      </c>
      <c r="N56" s="16">
        <f t="shared" si="9"/>
        <v>42.816502085013127</v>
      </c>
      <c r="O56" s="7"/>
      <c r="P56" s="57">
        <f t="shared" si="11"/>
        <v>8.9492548204745042</v>
      </c>
      <c r="Q56" s="57">
        <f t="shared" si="10"/>
        <v>4.1627924976043174E-3</v>
      </c>
      <c r="R56" s="103">
        <f t="shared" si="5"/>
        <v>1.7840209202088804</v>
      </c>
    </row>
    <row r="57" spans="1:18">
      <c r="A57" s="5">
        <v>43</v>
      </c>
      <c r="B57" s="207">
        <v>4</v>
      </c>
      <c r="C57" s="35">
        <f t="shared" si="6"/>
        <v>42.909097926855978</v>
      </c>
      <c r="D57" s="35">
        <f t="shared" si="7"/>
        <v>0.52525272019044378</v>
      </c>
      <c r="E57" s="35">
        <f t="shared" si="8"/>
        <v>149.16559531616255</v>
      </c>
      <c r="F57" s="33">
        <f t="shared" si="0"/>
        <v>1424.2418394286685</v>
      </c>
      <c r="G57" s="34">
        <f t="shared" si="1"/>
        <v>0.47474727980955617</v>
      </c>
      <c r="H57" s="6"/>
      <c r="I57" s="16"/>
      <c r="J57" s="33"/>
      <c r="K57" s="35">
        <f t="shared" si="2"/>
        <v>42.909097926855978</v>
      </c>
      <c r="L57" s="16">
        <f t="shared" si="3"/>
        <v>24</v>
      </c>
      <c r="M57" s="16">
        <f t="shared" si="4"/>
        <v>42.909097926855978</v>
      </c>
      <c r="N57" s="16">
        <f t="shared" si="9"/>
        <v>42.909097926855978</v>
      </c>
      <c r="O57" s="7"/>
      <c r="P57" s="57">
        <f t="shared" si="11"/>
        <v>9.4745075406649484</v>
      </c>
      <c r="Q57" s="57">
        <f t="shared" si="10"/>
        <v>2.5721067178567925E-3</v>
      </c>
      <c r="R57" s="103">
        <f t="shared" si="5"/>
        <v>1.7878790802856657</v>
      </c>
    </row>
    <row r="58" spans="1:18">
      <c r="A58" s="5">
        <v>44</v>
      </c>
      <c r="B58" s="207">
        <v>4</v>
      </c>
      <c r="C58" s="35">
        <f t="shared" si="6"/>
        <v>42.966311056500722</v>
      </c>
      <c r="D58" s="35">
        <f t="shared" si="7"/>
        <v>0.52684197379168674</v>
      </c>
      <c r="E58" s="35">
        <f t="shared" si="8"/>
        <v>148.66625183465203</v>
      </c>
      <c r="F58" s="33">
        <f t="shared" si="0"/>
        <v>1419.4740786249399</v>
      </c>
      <c r="G58" s="34">
        <f t="shared" si="1"/>
        <v>0.47315802620831332</v>
      </c>
      <c r="H58" s="6"/>
      <c r="I58" s="16"/>
      <c r="J58" s="33"/>
      <c r="K58" s="35">
        <f t="shared" si="2"/>
        <v>42.966311056500722</v>
      </c>
      <c r="L58" s="16">
        <f t="shared" si="3"/>
        <v>24</v>
      </c>
      <c r="M58" s="16">
        <f t="shared" si="4"/>
        <v>42.966311056500722</v>
      </c>
      <c r="N58" s="16">
        <f t="shared" si="9"/>
        <v>42.966311056500722</v>
      </c>
      <c r="O58" s="7"/>
      <c r="P58" s="57">
        <f t="shared" si="11"/>
        <v>10.001349514456635</v>
      </c>
      <c r="Q58" s="57">
        <f t="shared" si="10"/>
        <v>1.589253601242957E-3</v>
      </c>
      <c r="R58" s="103">
        <f t="shared" si="5"/>
        <v>1.79026296068753</v>
      </c>
    </row>
    <row r="59" spans="1:18">
      <c r="A59" s="5">
        <v>45</v>
      </c>
      <c r="B59" s="207">
        <v>4</v>
      </c>
      <c r="C59" s="35">
        <f t="shared" si="6"/>
        <v>43.001661911772409</v>
      </c>
      <c r="D59" s="35">
        <f t="shared" si="7"/>
        <v>0.52782394199367799</v>
      </c>
      <c r="E59" s="35">
        <f t="shared" si="8"/>
        <v>148.35771742558637</v>
      </c>
      <c r="F59" s="33">
        <f t="shared" si="0"/>
        <v>1416.528174018966</v>
      </c>
      <c r="G59" s="34">
        <f t="shared" si="1"/>
        <v>0.47217605800632201</v>
      </c>
      <c r="H59" s="6"/>
      <c r="I59" s="16"/>
      <c r="J59" s="33"/>
      <c r="K59" s="35">
        <f t="shared" si="2"/>
        <v>43.001661911772409</v>
      </c>
      <c r="L59" s="16">
        <f t="shared" si="3"/>
        <v>24</v>
      </c>
      <c r="M59" s="16">
        <f t="shared" si="4"/>
        <v>43.001661911772409</v>
      </c>
      <c r="N59" s="16">
        <f t="shared" si="9"/>
        <v>43.001661911772409</v>
      </c>
      <c r="O59" s="7"/>
      <c r="P59" s="57">
        <f t="shared" si="11"/>
        <v>10.529173456450312</v>
      </c>
      <c r="Q59" s="57">
        <f t="shared" si="10"/>
        <v>9.8196820199125678E-4</v>
      </c>
      <c r="R59" s="103">
        <f t="shared" si="5"/>
        <v>1.791735912990517</v>
      </c>
    </row>
    <row r="60" spans="1:18">
      <c r="A60" s="5">
        <v>46</v>
      </c>
      <c r="B60" s="207">
        <v>4</v>
      </c>
      <c r="C60" s="35">
        <f t="shared" si="6"/>
        <v>43.023504502384029</v>
      </c>
      <c r="D60" s="35">
        <f t="shared" si="7"/>
        <v>0.52843068062177845</v>
      </c>
      <c r="E60" s="35">
        <f t="shared" si="8"/>
        <v>148.16708014863718</v>
      </c>
      <c r="F60" s="33">
        <f t="shared" si="0"/>
        <v>1414.7079581346645</v>
      </c>
      <c r="G60" s="34">
        <f t="shared" si="1"/>
        <v>0.4715693193782215</v>
      </c>
      <c r="H60" s="6"/>
      <c r="I60" s="16"/>
      <c r="J60" s="33"/>
      <c r="K60" s="35">
        <f t="shared" si="2"/>
        <v>43.023504502384029</v>
      </c>
      <c r="L60" s="16">
        <f t="shared" si="3"/>
        <v>24</v>
      </c>
      <c r="M60" s="16">
        <f t="shared" si="4"/>
        <v>43.023504502384029</v>
      </c>
      <c r="N60" s="16">
        <f t="shared" si="9"/>
        <v>43.023504502384029</v>
      </c>
      <c r="O60" s="7"/>
      <c r="P60" s="57">
        <f t="shared" si="11"/>
        <v>11.05760413707209</v>
      </c>
      <c r="Q60" s="57">
        <f t="shared" si="10"/>
        <v>6.0673862810045609E-4</v>
      </c>
      <c r="R60" s="103">
        <f t="shared" si="5"/>
        <v>1.7926460209326678</v>
      </c>
    </row>
    <row r="61" spans="1:18">
      <c r="A61" s="5">
        <v>47</v>
      </c>
      <c r="B61" s="207">
        <v>4</v>
      </c>
      <c r="C61" s="35">
        <f t="shared" si="6"/>
        <v>43.037000604839264</v>
      </c>
      <c r="D61" s="35">
        <f t="shared" si="7"/>
        <v>0.52880557235664616</v>
      </c>
      <c r="E61" s="35">
        <f t="shared" si="8"/>
        <v>148.04928916554178</v>
      </c>
      <c r="F61" s="33">
        <f t="shared" si="0"/>
        <v>1413.5832829300616</v>
      </c>
      <c r="G61" s="34">
        <f t="shared" si="1"/>
        <v>0.4711944276433539</v>
      </c>
      <c r="H61" s="6"/>
      <c r="I61" s="16"/>
      <c r="J61" s="33"/>
      <c r="K61" s="35">
        <f t="shared" si="2"/>
        <v>43.037000604839264</v>
      </c>
      <c r="L61" s="16">
        <f t="shared" si="3"/>
        <v>24</v>
      </c>
      <c r="M61" s="16">
        <f t="shared" si="4"/>
        <v>43.037000604839264</v>
      </c>
      <c r="N61" s="16">
        <f t="shared" si="9"/>
        <v>43.037000604839264</v>
      </c>
      <c r="O61" s="7"/>
      <c r="P61" s="57">
        <f t="shared" si="11"/>
        <v>11.586409709428736</v>
      </c>
      <c r="Q61" s="57">
        <f t="shared" si="10"/>
        <v>3.7489173486771055E-4</v>
      </c>
      <c r="R61" s="103">
        <f t="shared" si="5"/>
        <v>1.7932083585349694</v>
      </c>
    </row>
    <row r="62" spans="1:18">
      <c r="A62" s="5">
        <v>48</v>
      </c>
      <c r="B62" s="207">
        <v>4</v>
      </c>
      <c r="C62" s="35">
        <f t="shared" si="6"/>
        <v>43.045339578211092</v>
      </c>
      <c r="D62" s="35">
        <f t="shared" si="7"/>
        <v>0.52903721050586361</v>
      </c>
      <c r="E62" s="35">
        <f t="shared" si="8"/>
        <v>147.97650845905764</v>
      </c>
      <c r="F62" s="33">
        <f t="shared" si="0"/>
        <v>1412.8883684824091</v>
      </c>
      <c r="G62" s="34">
        <f t="shared" si="1"/>
        <v>0.47096278949413634</v>
      </c>
      <c r="H62" s="6"/>
      <c r="I62" s="16"/>
      <c r="J62" s="33"/>
      <c r="K62" s="35">
        <f t="shared" si="2"/>
        <v>43.045339578211092</v>
      </c>
      <c r="L62" s="16">
        <f t="shared" si="3"/>
        <v>24</v>
      </c>
      <c r="M62" s="16">
        <f t="shared" si="4"/>
        <v>43.045339578211092</v>
      </c>
      <c r="N62" s="16">
        <f t="shared" si="9"/>
        <v>43.045339578211092</v>
      </c>
      <c r="O62" s="7"/>
      <c r="P62" s="57">
        <f t="shared" si="11"/>
        <v>12.1154469199346</v>
      </c>
      <c r="Q62" s="57">
        <f t="shared" si="10"/>
        <v>2.3163814921745018E-4</v>
      </c>
      <c r="R62" s="103">
        <f t="shared" si="5"/>
        <v>1.7935558157587954</v>
      </c>
    </row>
    <row r="63" spans="1:18">
      <c r="A63" s="5">
        <v>49</v>
      </c>
      <c r="B63" s="207">
        <v>4</v>
      </c>
      <c r="C63" s="35">
        <f t="shared" si="6"/>
        <v>43.050492064058531</v>
      </c>
      <c r="D63" s="35">
        <f t="shared" si="7"/>
        <v>0.52918033511273688</v>
      </c>
      <c r="E63" s="35">
        <f t="shared" si="8"/>
        <v>147.93153870757806</v>
      </c>
      <c r="F63" s="33">
        <f t="shared" si="0"/>
        <v>1412.4589946617893</v>
      </c>
      <c r="G63" s="34">
        <f t="shared" si="1"/>
        <v>0.47081966488726312</v>
      </c>
      <c r="H63" s="6"/>
      <c r="I63" s="16"/>
      <c r="J63" s="33"/>
      <c r="K63" s="35">
        <f t="shared" si="2"/>
        <v>43.050492064058531</v>
      </c>
      <c r="L63" s="16">
        <f t="shared" si="3"/>
        <v>24</v>
      </c>
      <c r="M63" s="16">
        <f t="shared" si="4"/>
        <v>43.050492064058531</v>
      </c>
      <c r="N63" s="16">
        <f t="shared" si="9"/>
        <v>43.050492064058531</v>
      </c>
      <c r="O63" s="7"/>
      <c r="P63" s="57">
        <f t="shared" si="11"/>
        <v>12.644627255047336</v>
      </c>
      <c r="Q63" s="57">
        <f t="shared" si="10"/>
        <v>1.4312460687326833E-4</v>
      </c>
      <c r="R63" s="103">
        <f t="shared" si="5"/>
        <v>1.7937705026691055</v>
      </c>
    </row>
    <row r="64" spans="1:18">
      <c r="A64" s="5">
        <v>50</v>
      </c>
      <c r="B64" s="207">
        <v>4</v>
      </c>
      <c r="C64" s="35">
        <f t="shared" si="6"/>
        <v>43.05367568261974</v>
      </c>
      <c r="D64" s="35">
        <f t="shared" si="7"/>
        <v>0.52926876896165953</v>
      </c>
      <c r="E64" s="35">
        <f t="shared" si="8"/>
        <v>147.90375279224656</v>
      </c>
      <c r="F64" s="33">
        <f t="shared" si="0"/>
        <v>1412.1936931150215</v>
      </c>
      <c r="G64" s="34">
        <f t="shared" si="1"/>
        <v>0.47073123103834047</v>
      </c>
      <c r="H64" s="6"/>
      <c r="I64" s="16"/>
      <c r="J64" s="33"/>
      <c r="K64" s="35">
        <f t="shared" si="2"/>
        <v>43.05367568261974</v>
      </c>
      <c r="L64" s="16">
        <f t="shared" si="3"/>
        <v>24</v>
      </c>
      <c r="M64" s="16">
        <f t="shared" si="4"/>
        <v>43.05367568261974</v>
      </c>
      <c r="N64" s="16">
        <f t="shared" si="9"/>
        <v>43.05367568261974</v>
      </c>
      <c r="O64" s="7"/>
      <c r="P64" s="57">
        <f t="shared" si="11"/>
        <v>13.173896024008995</v>
      </c>
      <c r="Q64" s="57">
        <f t="shared" si="10"/>
        <v>8.8433848922653269E-5</v>
      </c>
      <c r="R64" s="103">
        <f t="shared" si="5"/>
        <v>1.7939031534424892</v>
      </c>
    </row>
    <row r="65" spans="1:18">
      <c r="A65" s="5">
        <v>51</v>
      </c>
      <c r="B65" s="207">
        <v>4</v>
      </c>
      <c r="C65" s="35">
        <f t="shared" si="6"/>
        <v>43.055642777230659</v>
      </c>
      <c r="D65" s="35">
        <f t="shared" si="7"/>
        <v>0.52932341047862941</v>
      </c>
      <c r="E65" s="35">
        <f t="shared" si="8"/>
        <v>147.88658442761465</v>
      </c>
      <c r="F65" s="33">
        <f t="shared" si="0"/>
        <v>1412.0297685641119</v>
      </c>
      <c r="G65" s="34">
        <f t="shared" si="1"/>
        <v>0.47067658952137065</v>
      </c>
      <c r="H65" s="6"/>
      <c r="I65" s="16"/>
      <c r="J65" s="33"/>
      <c r="K65" s="35">
        <f t="shared" si="2"/>
        <v>43.055642777230659</v>
      </c>
      <c r="L65" s="16">
        <f t="shared" si="3"/>
        <v>24</v>
      </c>
      <c r="M65" s="16">
        <f t="shared" si="4"/>
        <v>43.055642777230659</v>
      </c>
      <c r="N65" s="16">
        <f t="shared" si="9"/>
        <v>43.055642777230659</v>
      </c>
      <c r="O65" s="7"/>
      <c r="P65" s="57">
        <f t="shared" si="11"/>
        <v>13.703219434487623</v>
      </c>
      <c r="Q65" s="57">
        <f t="shared" si="10"/>
        <v>5.4641516969877735E-5</v>
      </c>
      <c r="R65" s="103">
        <f t="shared" si="5"/>
        <v>1.7939851157179441</v>
      </c>
    </row>
    <row r="66" spans="1:18">
      <c r="A66" s="5">
        <v>52</v>
      </c>
      <c r="B66" s="207">
        <v>4</v>
      </c>
      <c r="C66" s="35">
        <f t="shared" si="6"/>
        <v>43.056858205880125</v>
      </c>
      <c r="D66" s="35">
        <f t="shared" si="7"/>
        <v>0.52935717238555902</v>
      </c>
      <c r="E66" s="35">
        <f t="shared" si="8"/>
        <v>147.87597643645734</v>
      </c>
      <c r="F66" s="33">
        <f t="shared" si="0"/>
        <v>1411.9284828433229</v>
      </c>
      <c r="G66" s="34">
        <f t="shared" si="1"/>
        <v>0.47064282761444093</v>
      </c>
      <c r="H66" s="6"/>
      <c r="I66" s="16"/>
      <c r="J66" s="33"/>
      <c r="K66" s="35">
        <f t="shared" si="2"/>
        <v>43.056858205880125</v>
      </c>
      <c r="L66" s="16">
        <f t="shared" si="3"/>
        <v>24</v>
      </c>
      <c r="M66" s="16">
        <f t="shared" si="4"/>
        <v>43.056858205880125</v>
      </c>
      <c r="N66" s="16">
        <f t="shared" si="9"/>
        <v>43.056858205880125</v>
      </c>
      <c r="O66" s="7"/>
      <c r="P66" s="57">
        <f t="shared" si="11"/>
        <v>14.232576606873183</v>
      </c>
      <c r="Q66" s="57">
        <f t="shared" si="10"/>
        <v>3.376190692960801E-5</v>
      </c>
      <c r="R66" s="103">
        <f t="shared" si="5"/>
        <v>1.7940357585783386</v>
      </c>
    </row>
    <row r="67" spans="1:18">
      <c r="A67" s="5">
        <v>53</v>
      </c>
      <c r="B67" s="207">
        <v>4</v>
      </c>
      <c r="C67" s="35">
        <f t="shared" si="6"/>
        <v>43.057609195076971</v>
      </c>
      <c r="D67" s="35">
        <f t="shared" si="7"/>
        <v>0.5293780331965825</v>
      </c>
      <c r="E67" s="35">
        <f t="shared" si="8"/>
        <v>147.86942196963378</v>
      </c>
      <c r="F67" s="33">
        <f t="shared" si="0"/>
        <v>1411.8659004102526</v>
      </c>
      <c r="G67" s="34">
        <f t="shared" si="1"/>
        <v>0.47062196680341756</v>
      </c>
      <c r="H67" s="6"/>
      <c r="I67" s="16"/>
      <c r="J67" s="33"/>
      <c r="K67" s="35">
        <f t="shared" si="2"/>
        <v>43.057609195076971</v>
      </c>
      <c r="L67" s="16">
        <f t="shared" si="3"/>
        <v>24</v>
      </c>
      <c r="M67" s="16">
        <f t="shared" si="4"/>
        <v>43.057609195076971</v>
      </c>
      <c r="N67" s="16">
        <f t="shared" si="9"/>
        <v>43.057609195076971</v>
      </c>
      <c r="O67" s="7"/>
      <c r="P67" s="57">
        <f t="shared" si="11"/>
        <v>14.761954640069765</v>
      </c>
      <c r="Q67" s="57">
        <f t="shared" si="10"/>
        <v>2.0860811023482029E-5</v>
      </c>
      <c r="R67" s="103">
        <f t="shared" si="5"/>
        <v>1.7940670497948739</v>
      </c>
    </row>
    <row r="68" spans="1:18">
      <c r="A68" s="5">
        <v>54</v>
      </c>
      <c r="B68" s="207">
        <v>4</v>
      </c>
      <c r="C68" s="35">
        <f t="shared" si="6"/>
        <v>43.058073216370211</v>
      </c>
      <c r="D68" s="35">
        <f t="shared" si="7"/>
        <v>0.52939092267695032</v>
      </c>
      <c r="E68" s="35">
        <f t="shared" si="8"/>
        <v>147.86537209490223</v>
      </c>
      <c r="F68" s="33">
        <f t="shared" si="0"/>
        <v>1411.8272319691491</v>
      </c>
      <c r="G68" s="34">
        <f t="shared" si="1"/>
        <v>0.47060907732304968</v>
      </c>
      <c r="H68" s="6"/>
      <c r="I68" s="16"/>
      <c r="J68" s="33"/>
      <c r="K68" s="35">
        <f t="shared" si="2"/>
        <v>43.058073216370211</v>
      </c>
      <c r="L68" s="16">
        <f t="shared" si="3"/>
        <v>24</v>
      </c>
      <c r="M68" s="16">
        <f t="shared" si="4"/>
        <v>43.058073216370211</v>
      </c>
      <c r="N68" s="16">
        <f t="shared" si="9"/>
        <v>43.058073216370211</v>
      </c>
      <c r="O68" s="7"/>
      <c r="P68" s="57">
        <f t="shared" si="11"/>
        <v>15.291345562746717</v>
      </c>
      <c r="Q68" s="57">
        <f t="shared" si="10"/>
        <v>1.2889480367817008E-5</v>
      </c>
      <c r="R68" s="103">
        <f t="shared" si="5"/>
        <v>1.7940863840154255</v>
      </c>
    </row>
    <row r="69" spans="1:18">
      <c r="A69" s="5">
        <v>55</v>
      </c>
      <c r="B69" s="207">
        <v>4</v>
      </c>
      <c r="C69" s="35">
        <f t="shared" si="6"/>
        <v>43.058359925901428</v>
      </c>
      <c r="D69" s="35">
        <f t="shared" si="7"/>
        <v>0.52939888683059533</v>
      </c>
      <c r="E69" s="35">
        <f t="shared" si="8"/>
        <v>147.86286975782696</v>
      </c>
      <c r="F69" s="33">
        <f t="shared" si="0"/>
        <v>1411.8033395082141</v>
      </c>
      <c r="G69" s="34">
        <f t="shared" si="1"/>
        <v>0.47060111316940467</v>
      </c>
      <c r="H69" s="6"/>
      <c r="I69" s="16"/>
      <c r="J69" s="33"/>
      <c r="K69" s="35">
        <f t="shared" si="2"/>
        <v>43.058359925901428</v>
      </c>
      <c r="L69" s="16">
        <f t="shared" si="3"/>
        <v>24</v>
      </c>
      <c r="M69" s="16">
        <f t="shared" si="4"/>
        <v>43.058359925901428</v>
      </c>
      <c r="N69" s="16">
        <f t="shared" si="9"/>
        <v>43.058359925901428</v>
      </c>
      <c r="O69" s="7"/>
      <c r="P69" s="57">
        <f t="shared" si="11"/>
        <v>15.820744449577312</v>
      </c>
      <c r="Q69" s="57">
        <f t="shared" si="10"/>
        <v>7.9641536450125727E-6</v>
      </c>
      <c r="R69" s="103">
        <f t="shared" si="5"/>
        <v>1.7940983302458928</v>
      </c>
    </row>
    <row r="70" spans="1:18">
      <c r="A70" s="5">
        <v>56</v>
      </c>
      <c r="B70" s="207">
        <v>4</v>
      </c>
      <c r="C70" s="35">
        <f t="shared" si="6"/>
        <v>43.058537078020294</v>
      </c>
      <c r="D70" s="35">
        <f t="shared" si="7"/>
        <v>0.52940380772278595</v>
      </c>
      <c r="E70" s="35">
        <f t="shared" si="8"/>
        <v>147.86132361350064</v>
      </c>
      <c r="F70" s="33">
        <f t="shared" si="0"/>
        <v>1411.7885768316421</v>
      </c>
      <c r="G70" s="34">
        <f t="shared" si="1"/>
        <v>0.47059619227721405</v>
      </c>
      <c r="H70" s="6"/>
      <c r="I70" s="16"/>
      <c r="J70" s="33"/>
      <c r="K70" s="35">
        <f t="shared" si="2"/>
        <v>43.058537078020294</v>
      </c>
      <c r="L70" s="16">
        <f t="shared" si="3"/>
        <v>24</v>
      </c>
      <c r="M70" s="16">
        <f t="shared" si="4"/>
        <v>43.058537078020294</v>
      </c>
      <c r="N70" s="16">
        <f t="shared" si="9"/>
        <v>43.058537078020294</v>
      </c>
      <c r="O70" s="7"/>
      <c r="P70" s="57">
        <f t="shared" si="11"/>
        <v>16.350148257300098</v>
      </c>
      <c r="Q70" s="57">
        <f t="shared" si="10"/>
        <v>4.920892190618531E-6</v>
      </c>
      <c r="R70" s="103">
        <f t="shared" si="5"/>
        <v>1.794105711584179</v>
      </c>
    </row>
    <row r="71" spans="1:18">
      <c r="A71" s="5">
        <v>57</v>
      </c>
      <c r="B71" s="207">
        <v>4</v>
      </c>
      <c r="C71" s="35">
        <f t="shared" si="6"/>
        <v>43.058646536792324</v>
      </c>
      <c r="D71" s="35">
        <f t="shared" si="7"/>
        <v>0.52940684824423112</v>
      </c>
      <c r="E71" s="35">
        <f t="shared" si="8"/>
        <v>147.86036828166255</v>
      </c>
      <c r="F71" s="33">
        <f t="shared" si="0"/>
        <v>1411.7794552673065</v>
      </c>
      <c r="G71" s="34">
        <f t="shared" si="1"/>
        <v>0.47059315175576882</v>
      </c>
      <c r="H71" s="6"/>
      <c r="I71" s="16"/>
      <c r="J71" s="33"/>
      <c r="K71" s="35">
        <f t="shared" si="2"/>
        <v>43.058646536792324</v>
      </c>
      <c r="L71" s="16">
        <f t="shared" si="3"/>
        <v>24</v>
      </c>
      <c r="M71" s="16">
        <f t="shared" si="4"/>
        <v>43.058646536792324</v>
      </c>
      <c r="N71" s="16">
        <f t="shared" si="9"/>
        <v>43.058646536792324</v>
      </c>
      <c r="O71" s="7"/>
      <c r="P71" s="57">
        <f t="shared" si="11"/>
        <v>16.87955510554433</v>
      </c>
      <c r="Q71" s="57">
        <f t="shared" si="10"/>
        <v>3.0405214451745266E-6</v>
      </c>
      <c r="R71" s="103">
        <f t="shared" si="5"/>
        <v>1.7941102723663469</v>
      </c>
    </row>
    <row r="72" spans="1:18">
      <c r="A72" s="5">
        <v>58</v>
      </c>
      <c r="B72" s="207">
        <v>4</v>
      </c>
      <c r="C72" s="35">
        <f t="shared" si="6"/>
        <v>43.058714169191262</v>
      </c>
      <c r="D72" s="35">
        <f t="shared" si="7"/>
        <v>0.52940872692197938</v>
      </c>
      <c r="E72" s="35">
        <f t="shared" si="8"/>
        <v>147.85977800111408</v>
      </c>
      <c r="F72" s="33">
        <f t="shared" si="0"/>
        <v>1411.7738192340619</v>
      </c>
      <c r="G72" s="34">
        <f t="shared" si="1"/>
        <v>0.47059127307802062</v>
      </c>
      <c r="H72" s="6"/>
      <c r="I72" s="16"/>
      <c r="J72" s="33"/>
      <c r="K72" s="35">
        <f t="shared" si="2"/>
        <v>43.058714169191262</v>
      </c>
      <c r="L72" s="16">
        <f t="shared" si="3"/>
        <v>24</v>
      </c>
      <c r="M72" s="16">
        <f t="shared" si="4"/>
        <v>43.058714169191262</v>
      </c>
      <c r="N72" s="16">
        <f t="shared" si="9"/>
        <v>43.058714169191262</v>
      </c>
      <c r="O72" s="7"/>
      <c r="P72" s="57">
        <f t="shared" si="11"/>
        <v>17.408963832466309</v>
      </c>
      <c r="Q72" s="57">
        <f t="shared" si="10"/>
        <v>1.8786777482571182E-6</v>
      </c>
      <c r="R72" s="103">
        <f t="shared" si="5"/>
        <v>1.7941130903829692</v>
      </c>
    </row>
    <row r="73" spans="1:18">
      <c r="A73" s="5">
        <v>59</v>
      </c>
      <c r="B73" s="207">
        <v>4</v>
      </c>
      <c r="C73" s="35">
        <f t="shared" si="6"/>
        <v>43.058755957905859</v>
      </c>
      <c r="D73" s="35">
        <f t="shared" si="7"/>
        <v>0.52940988771960718</v>
      </c>
      <c r="E73" s="35">
        <f t="shared" si="8"/>
        <v>147.8594132784994</v>
      </c>
      <c r="F73" s="33">
        <f t="shared" si="0"/>
        <v>1411.7703368411785</v>
      </c>
      <c r="G73" s="34">
        <f t="shared" si="1"/>
        <v>0.47059011228039282</v>
      </c>
      <c r="H73" s="6"/>
      <c r="I73" s="16"/>
      <c r="J73" s="33"/>
      <c r="K73" s="35">
        <f t="shared" si="2"/>
        <v>43.058755957905859</v>
      </c>
      <c r="L73" s="16">
        <f t="shared" si="3"/>
        <v>24</v>
      </c>
      <c r="M73" s="16">
        <f t="shared" si="4"/>
        <v>43.058755957905859</v>
      </c>
      <c r="N73" s="16">
        <f t="shared" si="9"/>
        <v>43.058755957905859</v>
      </c>
      <c r="O73" s="7"/>
      <c r="P73" s="57">
        <f t="shared" si="11"/>
        <v>17.938373720185915</v>
      </c>
      <c r="Q73" s="57">
        <f t="shared" si="10"/>
        <v>1.1607976277971943E-6</v>
      </c>
      <c r="R73" s="103">
        <f t="shared" si="5"/>
        <v>1.7941148315794109</v>
      </c>
    </row>
    <row r="74" spans="1:18">
      <c r="A74" s="5">
        <v>60</v>
      </c>
      <c r="B74" s="207">
        <v>4</v>
      </c>
      <c r="C74" s="35">
        <f t="shared" si="6"/>
        <v>43.058781778321752</v>
      </c>
      <c r="D74" s="35">
        <f t="shared" si="7"/>
        <v>0.52941060495338199</v>
      </c>
      <c r="E74" s="35">
        <f t="shared" si="8"/>
        <v>147.85918792364737</v>
      </c>
      <c r="F74" s="33">
        <f t="shared" si="0"/>
        <v>1411.768185139854</v>
      </c>
      <c r="G74" s="34">
        <f t="shared" si="1"/>
        <v>0.47058939504661801</v>
      </c>
      <c r="H74" s="6"/>
      <c r="I74" s="16"/>
      <c r="J74" s="33"/>
      <c r="K74" s="35">
        <f t="shared" si="2"/>
        <v>43.058781778321752</v>
      </c>
      <c r="L74" s="16">
        <f t="shared" si="3"/>
        <v>24</v>
      </c>
      <c r="M74" s="16">
        <f t="shared" si="4"/>
        <v>43.058781778321752</v>
      </c>
      <c r="N74" s="16">
        <f t="shared" si="9"/>
        <v>43.058781778321752</v>
      </c>
      <c r="O74" s="7"/>
      <c r="P74" s="57">
        <f t="shared" si="11"/>
        <v>18.467784325139299</v>
      </c>
      <c r="Q74" s="57">
        <f t="shared" si="10"/>
        <v>7.172337748162505E-7</v>
      </c>
      <c r="R74" s="103">
        <f t="shared" si="5"/>
        <v>1.794115907430073</v>
      </c>
    </row>
    <row r="75" spans="1:18">
      <c r="A75" s="5">
        <v>61</v>
      </c>
      <c r="B75" s="207">
        <v>4</v>
      </c>
      <c r="C75" s="35">
        <f t="shared" si="6"/>
        <v>43.058797732243363</v>
      </c>
      <c r="D75" s="35">
        <f t="shared" si="7"/>
        <v>0.5294110481178711</v>
      </c>
      <c r="E75" s="35">
        <f t="shared" si="8"/>
        <v>147.8590486813649</v>
      </c>
      <c r="F75" s="33">
        <f t="shared" si="0"/>
        <v>1411.7668556463866</v>
      </c>
      <c r="G75" s="34">
        <f t="shared" si="1"/>
        <v>0.47058895188212885</v>
      </c>
      <c r="H75" s="6"/>
      <c r="I75" s="16"/>
      <c r="J75" s="33"/>
      <c r="K75" s="35">
        <f t="shared" si="2"/>
        <v>43.058797732243363</v>
      </c>
      <c r="L75" s="16">
        <f t="shared" si="3"/>
        <v>24</v>
      </c>
      <c r="M75" s="16">
        <f t="shared" si="4"/>
        <v>43.058797732243363</v>
      </c>
      <c r="N75" s="16">
        <f t="shared" si="9"/>
        <v>43.058797732243363</v>
      </c>
      <c r="O75" s="7"/>
      <c r="P75" s="57">
        <f t="shared" si="11"/>
        <v>18.997195373257171</v>
      </c>
      <c r="Q75" s="57">
        <f t="shared" si="10"/>
        <v>4.4316448910564077E-7</v>
      </c>
      <c r="R75" s="103">
        <f t="shared" si="5"/>
        <v>1.7941165721768069</v>
      </c>
    </row>
    <row r="76" spans="1:18">
      <c r="A76" s="5">
        <v>62</v>
      </c>
      <c r="B76" s="207">
        <v>4</v>
      </c>
      <c r="C76" s="35">
        <f t="shared" si="6"/>
        <v>43.058807589854318</v>
      </c>
      <c r="D76" s="35">
        <f t="shared" si="7"/>
        <v>0.52941132194039775</v>
      </c>
      <c r="E76" s="35">
        <f t="shared" si="8"/>
        <v>147.85896264632703</v>
      </c>
      <c r="F76" s="33">
        <f t="shared" si="0"/>
        <v>1411.7660341788066</v>
      </c>
      <c r="G76" s="34">
        <f t="shared" si="1"/>
        <v>0.47058867805960219</v>
      </c>
      <c r="H76" s="6"/>
      <c r="I76" s="16"/>
      <c r="J76" s="33"/>
      <c r="K76" s="35">
        <f t="shared" si="2"/>
        <v>43.058807589854318</v>
      </c>
      <c r="L76" s="16">
        <f t="shared" si="3"/>
        <v>24</v>
      </c>
      <c r="M76" s="16">
        <f t="shared" si="4"/>
        <v>43.058807589854318</v>
      </c>
      <c r="N76" s="16">
        <f t="shared" si="9"/>
        <v>43.058807589854318</v>
      </c>
      <c r="O76" s="7"/>
      <c r="P76" s="57">
        <f t="shared" si="11"/>
        <v>19.526606695197568</v>
      </c>
      <c r="Q76" s="57">
        <f t="shared" si="10"/>
        <v>2.7382252665297813E-7</v>
      </c>
      <c r="R76" s="103">
        <f t="shared" si="5"/>
        <v>1.7941169829105965</v>
      </c>
    </row>
    <row r="77" spans="1:18">
      <c r="A77" s="5">
        <v>63</v>
      </c>
      <c r="B77" s="207">
        <v>4</v>
      </c>
      <c r="C77" s="35">
        <f t="shared" si="6"/>
        <v>43.058813680676138</v>
      </c>
      <c r="D77" s="35">
        <f t="shared" si="7"/>
        <v>0.52941149112989261</v>
      </c>
      <c r="E77" s="35">
        <f t="shared" si="8"/>
        <v>147.85890948698773</v>
      </c>
      <c r="F77" s="33">
        <f t="shared" si="0"/>
        <v>1411.7655266103222</v>
      </c>
      <c r="G77" s="34">
        <f t="shared" si="1"/>
        <v>0.47058850887010739</v>
      </c>
      <c r="H77" s="6"/>
      <c r="I77" s="16"/>
      <c r="J77" s="33"/>
      <c r="K77" s="35">
        <f t="shared" si="2"/>
        <v>43.058813680676138</v>
      </c>
      <c r="L77" s="16">
        <f t="shared" si="3"/>
        <v>24</v>
      </c>
      <c r="M77" s="16">
        <f t="shared" si="4"/>
        <v>43.058813680676138</v>
      </c>
      <c r="N77" s="16">
        <f t="shared" si="9"/>
        <v>43.058813680676138</v>
      </c>
      <c r="O77" s="7"/>
      <c r="P77" s="57">
        <f t="shared" si="11"/>
        <v>20.05601818632746</v>
      </c>
      <c r="Q77" s="57">
        <f t="shared" si="10"/>
        <v>1.6918949485855705E-7</v>
      </c>
      <c r="R77" s="103">
        <f t="shared" si="5"/>
        <v>1.794117236694839</v>
      </c>
    </row>
    <row r="78" spans="1:18">
      <c r="A78" s="5">
        <v>64</v>
      </c>
      <c r="B78" s="207">
        <v>4</v>
      </c>
      <c r="C78" s="35">
        <f t="shared" si="6"/>
        <v>43.058817444073838</v>
      </c>
      <c r="D78" s="35">
        <f t="shared" si="7"/>
        <v>0.52941159566871765</v>
      </c>
      <c r="E78" s="35">
        <f t="shared" si="8"/>
        <v>147.85887664088889</v>
      </c>
      <c r="F78" s="33">
        <f t="shared" ref="F78:F113" si="12">E78*60/(2*3.142)</f>
        <v>1411.7652129938469</v>
      </c>
      <c r="G78" s="34">
        <f t="shared" ref="G78:G113" si="13">F78/$D$1</f>
        <v>0.4705884043312823</v>
      </c>
      <c r="H78" s="6"/>
      <c r="I78" s="16"/>
      <c r="J78" s="33"/>
      <c r="K78" s="35">
        <f t="shared" ref="K78:K113" si="14">D78*$U$2+$D$7</f>
        <v>43.058817444073838</v>
      </c>
      <c r="L78" s="16">
        <f t="shared" ref="L78:L113" si="15">$U$3*P78+$D$7</f>
        <v>24</v>
      </c>
      <c r="M78" s="16">
        <f t="shared" ref="M78:M113" si="16">D78*$U$2+$U$3*P78+$D$7</f>
        <v>43.058817444073838</v>
      </c>
      <c r="N78" s="16">
        <f t="shared" si="9"/>
        <v>43.058817444073838</v>
      </c>
      <c r="O78" s="7"/>
      <c r="P78" s="57">
        <f t="shared" si="11"/>
        <v>20.585429781996179</v>
      </c>
      <c r="Q78" s="57">
        <f t="shared" si="10"/>
        <v>1.0453882504091183E-7</v>
      </c>
      <c r="R78" s="103">
        <f t="shared" ref="R78:R113" si="17">C78/24</f>
        <v>1.7941173935030765</v>
      </c>
    </row>
    <row r="79" spans="1:18">
      <c r="A79" s="5">
        <v>65</v>
      </c>
      <c r="B79" s="207">
        <v>4</v>
      </c>
      <c r="C79" s="35">
        <f t="shared" ref="C79:C113" si="18">N79</f>
        <v>43.058819769402454</v>
      </c>
      <c r="D79" s="35">
        <f t="shared" ref="D79:D113" si="19">($D$1-F79)/$D$1</f>
        <v>0.52941166026117925</v>
      </c>
      <c r="E79" s="35">
        <f t="shared" ref="E79:E113" si="20">($P$6*C78-$P$7*B79*$I$2+$P$8*E78)</f>
        <v>147.85885634593748</v>
      </c>
      <c r="F79" s="33">
        <f t="shared" si="12"/>
        <v>1411.7650192164624</v>
      </c>
      <c r="G79" s="34">
        <f t="shared" si="13"/>
        <v>0.4705883397388208</v>
      </c>
      <c r="H79" s="6"/>
      <c r="I79" s="16"/>
      <c r="J79" s="33"/>
      <c r="K79" s="35">
        <f t="shared" si="14"/>
        <v>43.058819769402454</v>
      </c>
      <c r="L79" s="16">
        <f t="shared" si="15"/>
        <v>24</v>
      </c>
      <c r="M79" s="16">
        <f t="shared" si="16"/>
        <v>43.058819769402454</v>
      </c>
      <c r="N79" s="16">
        <f t="shared" ref="N79:N113" si="21">D79*$U$2+$U$3*P79+$D$7 + $U$4*Q79</f>
        <v>43.058819769402454</v>
      </c>
      <c r="O79" s="7"/>
      <c r="P79" s="57">
        <f t="shared" si="11"/>
        <v>21.114841442257358</v>
      </c>
      <c r="Q79" s="57">
        <f t="shared" ref="Q79:Q113" si="22">D79-D78</f>
        <v>6.4592461601620244E-8</v>
      </c>
      <c r="R79" s="103">
        <f t="shared" si="17"/>
        <v>1.7941174903917689</v>
      </c>
    </row>
    <row r="80" spans="1:18">
      <c r="A80" s="5">
        <v>66</v>
      </c>
      <c r="B80" s="207">
        <v>4</v>
      </c>
      <c r="C80" s="35">
        <f t="shared" si="18"/>
        <v>43.058821206176773</v>
      </c>
      <c r="D80" s="35">
        <f t="shared" si="19"/>
        <v>0.5294117001715769</v>
      </c>
      <c r="E80" s="35">
        <f t="shared" si="20"/>
        <v>147.85884380609053</v>
      </c>
      <c r="F80" s="33">
        <f t="shared" si="12"/>
        <v>1411.7648994852693</v>
      </c>
      <c r="G80" s="34">
        <f t="shared" si="13"/>
        <v>0.4705882998284231</v>
      </c>
      <c r="H80" s="6"/>
      <c r="I80" s="16"/>
      <c r="J80" s="33"/>
      <c r="K80" s="35">
        <f t="shared" si="14"/>
        <v>43.058821206176773</v>
      </c>
      <c r="L80" s="16">
        <f t="shared" si="15"/>
        <v>24</v>
      </c>
      <c r="M80" s="16">
        <f t="shared" si="16"/>
        <v>43.058821206176773</v>
      </c>
      <c r="N80" s="16">
        <f t="shared" si="21"/>
        <v>43.058821206176773</v>
      </c>
      <c r="O80" s="7"/>
      <c r="P80" s="57">
        <f t="shared" ref="P80:P113" si="23">D80+P79</f>
        <v>21.644253142428934</v>
      </c>
      <c r="Q80" s="57">
        <f t="shared" si="22"/>
        <v>3.9910397653386553E-8</v>
      </c>
      <c r="R80" s="103">
        <f t="shared" si="17"/>
        <v>1.7941175502573656</v>
      </c>
    </row>
    <row r="81" spans="1:18">
      <c r="A81" s="5">
        <v>67</v>
      </c>
      <c r="B81" s="207">
        <v>4</v>
      </c>
      <c r="C81" s="35">
        <f t="shared" si="18"/>
        <v>43.058822093931056</v>
      </c>
      <c r="D81" s="35">
        <f t="shared" si="19"/>
        <v>0.52941172483141818</v>
      </c>
      <c r="E81" s="35">
        <f t="shared" si="20"/>
        <v>147.8588360579684</v>
      </c>
      <c r="F81" s="33">
        <f t="shared" si="12"/>
        <v>1411.7648255057454</v>
      </c>
      <c r="G81" s="34">
        <f t="shared" si="13"/>
        <v>0.47058827516858182</v>
      </c>
      <c r="H81" s="6"/>
      <c r="I81" s="16"/>
      <c r="J81" s="33"/>
      <c r="K81" s="35">
        <f t="shared" si="14"/>
        <v>43.058822093931056</v>
      </c>
      <c r="L81" s="16">
        <f t="shared" si="15"/>
        <v>24</v>
      </c>
      <c r="M81" s="16">
        <f t="shared" si="16"/>
        <v>43.058822093931056</v>
      </c>
      <c r="N81" s="16">
        <f t="shared" si="21"/>
        <v>43.058822093931056</v>
      </c>
      <c r="O81" s="7"/>
      <c r="P81" s="57">
        <f t="shared" si="23"/>
        <v>22.173664867260353</v>
      </c>
      <c r="Q81" s="57">
        <f t="shared" si="22"/>
        <v>2.4659841280083583E-8</v>
      </c>
      <c r="R81" s="103">
        <f t="shared" si="17"/>
        <v>1.7941175872471273</v>
      </c>
    </row>
    <row r="82" spans="1:18">
      <c r="A82" s="5">
        <v>68</v>
      </c>
      <c r="B82" s="207">
        <v>4</v>
      </c>
      <c r="C82" s="35">
        <f t="shared" si="18"/>
        <v>43.058822642456775</v>
      </c>
      <c r="D82" s="35">
        <f t="shared" si="19"/>
        <v>0.52941174006824376</v>
      </c>
      <c r="E82" s="35">
        <f t="shared" si="20"/>
        <v>147.8588312705578</v>
      </c>
      <c r="F82" s="33">
        <f t="shared" si="12"/>
        <v>1411.7647797952686</v>
      </c>
      <c r="G82" s="34">
        <f t="shared" si="13"/>
        <v>0.47058825993175618</v>
      </c>
      <c r="H82" s="6"/>
      <c r="I82" s="16"/>
      <c r="J82" s="33"/>
      <c r="K82" s="35">
        <f t="shared" si="14"/>
        <v>43.058822642456775</v>
      </c>
      <c r="L82" s="16">
        <f t="shared" si="15"/>
        <v>24</v>
      </c>
      <c r="M82" s="16">
        <f t="shared" si="16"/>
        <v>43.058822642456775</v>
      </c>
      <c r="N82" s="16">
        <f t="shared" si="21"/>
        <v>43.058822642456775</v>
      </c>
      <c r="O82" s="7"/>
      <c r="P82" s="57">
        <f t="shared" si="23"/>
        <v>22.703076607328597</v>
      </c>
      <c r="Q82" s="57">
        <f t="shared" si="22"/>
        <v>1.5236825579023616E-8</v>
      </c>
      <c r="R82" s="103">
        <f t="shared" si="17"/>
        <v>1.7941176101023657</v>
      </c>
    </row>
    <row r="83" spans="1:18">
      <c r="A83" s="5">
        <v>69</v>
      </c>
      <c r="B83" s="207">
        <v>4</v>
      </c>
      <c r="C83" s="35">
        <f t="shared" si="18"/>
        <v>43.058822981379912</v>
      </c>
      <c r="D83" s="35">
        <f t="shared" si="19"/>
        <v>0.52941174948277536</v>
      </c>
      <c r="E83" s="35">
        <f t="shared" si="20"/>
        <v>147.85882831251197</v>
      </c>
      <c r="F83" s="33">
        <f t="shared" si="12"/>
        <v>1411.764751551674</v>
      </c>
      <c r="G83" s="34">
        <f t="shared" si="13"/>
        <v>0.47058825051722464</v>
      </c>
      <c r="H83" s="6"/>
      <c r="I83" s="16"/>
      <c r="J83" s="33"/>
      <c r="K83" s="35">
        <f t="shared" si="14"/>
        <v>43.058822981379912</v>
      </c>
      <c r="L83" s="16">
        <f t="shared" si="15"/>
        <v>24</v>
      </c>
      <c r="M83" s="16">
        <f t="shared" si="16"/>
        <v>43.058822981379912</v>
      </c>
      <c r="N83" s="16">
        <f t="shared" si="21"/>
        <v>43.058822981379912</v>
      </c>
      <c r="O83" s="7"/>
      <c r="P83" s="57">
        <f t="shared" si="23"/>
        <v>23.232488356811373</v>
      </c>
      <c r="Q83" s="57">
        <f t="shared" si="22"/>
        <v>9.4145315987503864E-9</v>
      </c>
      <c r="R83" s="103">
        <f t="shared" si="17"/>
        <v>1.794117624224163</v>
      </c>
    </row>
    <row r="84" spans="1:18">
      <c r="A84" s="5">
        <v>70</v>
      </c>
      <c r="B84" s="207">
        <v>4</v>
      </c>
      <c r="C84" s="35">
        <f t="shared" si="18"/>
        <v>43.058823190793788</v>
      </c>
      <c r="D84" s="35">
        <f t="shared" si="19"/>
        <v>0.52941175529982731</v>
      </c>
      <c r="E84" s="35">
        <f t="shared" si="20"/>
        <v>147.85882648479426</v>
      </c>
      <c r="F84" s="33">
        <f t="shared" si="12"/>
        <v>1411.7647341005181</v>
      </c>
      <c r="G84" s="34">
        <f t="shared" si="13"/>
        <v>0.47058824470017269</v>
      </c>
      <c r="H84" s="6"/>
      <c r="I84" s="16"/>
      <c r="J84" s="33"/>
      <c r="K84" s="35">
        <f t="shared" si="14"/>
        <v>43.058823190793788</v>
      </c>
      <c r="L84" s="16">
        <f t="shared" si="15"/>
        <v>24</v>
      </c>
      <c r="M84" s="16">
        <f t="shared" si="16"/>
        <v>43.058823190793788</v>
      </c>
      <c r="N84" s="16">
        <f t="shared" si="21"/>
        <v>43.058823190793788</v>
      </c>
      <c r="O84" s="7"/>
      <c r="P84" s="57">
        <f t="shared" si="23"/>
        <v>23.761900112111199</v>
      </c>
      <c r="Q84" s="57">
        <f t="shared" si="22"/>
        <v>5.8170519512401597E-9</v>
      </c>
      <c r="R84" s="103">
        <f t="shared" si="17"/>
        <v>1.7941176329497412</v>
      </c>
    </row>
    <row r="85" spans="1:18">
      <c r="A85" s="5">
        <v>71</v>
      </c>
      <c r="B85" s="207">
        <v>0</v>
      </c>
      <c r="C85" s="35">
        <f t="shared" si="18"/>
        <v>33.348482778543655</v>
      </c>
      <c r="D85" s="35">
        <f t="shared" si="19"/>
        <v>0.25968007718176811</v>
      </c>
      <c r="E85" s="35">
        <f t="shared" si="20"/>
        <v>232.60851974948847</v>
      </c>
      <c r="F85" s="33">
        <f t="shared" si="12"/>
        <v>2220.9597684546957</v>
      </c>
      <c r="G85" s="34">
        <f t="shared" si="13"/>
        <v>0.74031992281823189</v>
      </c>
      <c r="H85" s="6"/>
      <c r="I85" s="16"/>
      <c r="J85" s="33"/>
      <c r="K85" s="35">
        <f t="shared" si="14"/>
        <v>33.348482778543655</v>
      </c>
      <c r="L85" s="16">
        <f t="shared" si="15"/>
        <v>24</v>
      </c>
      <c r="M85" s="16">
        <f t="shared" si="16"/>
        <v>33.348482778543655</v>
      </c>
      <c r="N85" s="16">
        <f t="shared" si="21"/>
        <v>33.348482778543655</v>
      </c>
      <c r="O85" s="7"/>
      <c r="P85" s="57">
        <f t="shared" si="23"/>
        <v>24.021580189292969</v>
      </c>
      <c r="Q85" s="57">
        <f t="shared" si="22"/>
        <v>-0.2697316781180592</v>
      </c>
      <c r="R85" s="103">
        <f t="shared" si="17"/>
        <v>1.3895201157726522</v>
      </c>
    </row>
    <row r="86" spans="1:18">
      <c r="A86" s="5">
        <v>72</v>
      </c>
      <c r="B86" s="207">
        <v>0</v>
      </c>
      <c r="C86" s="35">
        <f t="shared" si="18"/>
        <v>27.34865650293662</v>
      </c>
      <c r="D86" s="35">
        <f t="shared" si="19"/>
        <v>9.3018236192683915E-2</v>
      </c>
      <c r="E86" s="35">
        <f t="shared" si="20"/>
        <v>284.97367018825867</v>
      </c>
      <c r="F86" s="33">
        <f t="shared" si="12"/>
        <v>2720.9452914219482</v>
      </c>
      <c r="G86" s="34">
        <f t="shared" si="13"/>
        <v>0.9069817638073161</v>
      </c>
      <c r="H86" s="6"/>
      <c r="I86" s="16"/>
      <c r="J86" s="33"/>
      <c r="K86" s="35">
        <f t="shared" si="14"/>
        <v>27.34865650293662</v>
      </c>
      <c r="L86" s="16">
        <f t="shared" si="15"/>
        <v>24</v>
      </c>
      <c r="M86" s="16">
        <f t="shared" si="16"/>
        <v>27.34865650293662</v>
      </c>
      <c r="N86" s="16">
        <f t="shared" si="21"/>
        <v>27.34865650293662</v>
      </c>
      <c r="O86" s="7"/>
      <c r="P86" s="57">
        <f t="shared" si="23"/>
        <v>24.114598425485653</v>
      </c>
      <c r="Q86" s="57">
        <f t="shared" si="22"/>
        <v>-0.16666184098908421</v>
      </c>
      <c r="R86" s="103">
        <f t="shared" si="17"/>
        <v>1.1395273542890259</v>
      </c>
    </row>
    <row r="87" spans="1:18">
      <c r="A87" s="5">
        <v>73</v>
      </c>
      <c r="B87" s="207">
        <v>0</v>
      </c>
      <c r="C87" s="35">
        <f t="shared" si="18"/>
        <v>23.641483138339531</v>
      </c>
      <c r="D87" s="35">
        <f t="shared" si="19"/>
        <v>-9.9588017127907741E-3</v>
      </c>
      <c r="E87" s="35">
        <f t="shared" si="20"/>
        <v>317.32905549815882</v>
      </c>
      <c r="F87" s="33">
        <f t="shared" si="12"/>
        <v>3029.8764051383723</v>
      </c>
      <c r="G87" s="34">
        <f t="shared" si="13"/>
        <v>1.0099588017127907</v>
      </c>
      <c r="H87" s="6"/>
      <c r="I87" s="16"/>
      <c r="J87" s="33"/>
      <c r="K87" s="35">
        <f t="shared" si="14"/>
        <v>23.641483138339531</v>
      </c>
      <c r="L87" s="16">
        <f t="shared" si="15"/>
        <v>24</v>
      </c>
      <c r="M87" s="16">
        <f t="shared" si="16"/>
        <v>23.641483138339531</v>
      </c>
      <c r="N87" s="16">
        <f t="shared" si="21"/>
        <v>23.641483138339531</v>
      </c>
      <c r="O87" s="7"/>
      <c r="P87" s="57">
        <f t="shared" si="23"/>
        <v>24.104639623772862</v>
      </c>
      <c r="Q87" s="57">
        <f t="shared" si="22"/>
        <v>-0.10297703790547469</v>
      </c>
      <c r="R87" s="103">
        <f t="shared" si="17"/>
        <v>0.98506179743081379</v>
      </c>
    </row>
    <row r="88" spans="1:18">
      <c r="A88" s="5">
        <v>74</v>
      </c>
      <c r="B88" s="207">
        <v>0</v>
      </c>
      <c r="C88" s="35">
        <f t="shared" si="18"/>
        <v>21.350894423954184</v>
      </c>
      <c r="D88" s="35">
        <f t="shared" si="19"/>
        <v>-7.3586266001272632E-2</v>
      </c>
      <c r="E88" s="35">
        <f t="shared" si="20"/>
        <v>337.32080477759985</v>
      </c>
      <c r="F88" s="33">
        <f t="shared" si="12"/>
        <v>3220.7587980038179</v>
      </c>
      <c r="G88" s="34">
        <f t="shared" si="13"/>
        <v>1.0735862660012727</v>
      </c>
      <c r="H88" s="6"/>
      <c r="I88" s="16"/>
      <c r="J88" s="33"/>
      <c r="K88" s="35">
        <f t="shared" si="14"/>
        <v>21.350894423954184</v>
      </c>
      <c r="L88" s="16">
        <f t="shared" si="15"/>
        <v>24</v>
      </c>
      <c r="M88" s="16">
        <f t="shared" si="16"/>
        <v>21.350894423954184</v>
      </c>
      <c r="N88" s="16">
        <f t="shared" si="21"/>
        <v>21.350894423954184</v>
      </c>
      <c r="O88" s="7"/>
      <c r="P88" s="57">
        <f t="shared" si="23"/>
        <v>24.03105335777159</v>
      </c>
      <c r="Q88" s="57">
        <f t="shared" si="22"/>
        <v>-6.3627464288481858E-2</v>
      </c>
      <c r="R88" s="103">
        <f t="shared" si="17"/>
        <v>0.88962060099809104</v>
      </c>
    </row>
    <row r="89" spans="1:18">
      <c r="A89" s="5">
        <v>75</v>
      </c>
      <c r="B89" s="207">
        <v>0</v>
      </c>
      <c r="C89" s="35">
        <f t="shared" si="18"/>
        <v>19.935585199795533</v>
      </c>
      <c r="D89" s="35">
        <f t="shared" si="19"/>
        <v>-0.11290041111679072</v>
      </c>
      <c r="E89" s="35">
        <f t="shared" si="20"/>
        <v>349.67330917289564</v>
      </c>
      <c r="F89" s="33">
        <f t="shared" si="12"/>
        <v>3338.7012333503721</v>
      </c>
      <c r="G89" s="34">
        <f t="shared" si="13"/>
        <v>1.1129004111167906</v>
      </c>
      <c r="H89" s="6"/>
      <c r="I89" s="16"/>
      <c r="J89" s="33"/>
      <c r="K89" s="35">
        <f t="shared" si="14"/>
        <v>19.935585199795533</v>
      </c>
      <c r="L89" s="16">
        <f t="shared" si="15"/>
        <v>24</v>
      </c>
      <c r="M89" s="16">
        <f t="shared" si="16"/>
        <v>19.935585199795533</v>
      </c>
      <c r="N89" s="16">
        <f t="shared" si="21"/>
        <v>19.935585199795533</v>
      </c>
      <c r="O89" s="7"/>
      <c r="P89" s="57">
        <f t="shared" si="23"/>
        <v>23.9181529466548</v>
      </c>
      <c r="Q89" s="57">
        <f t="shared" si="22"/>
        <v>-3.931414511551809E-2</v>
      </c>
      <c r="R89" s="103">
        <f t="shared" si="17"/>
        <v>0.83064938332481386</v>
      </c>
    </row>
    <row r="90" spans="1:18">
      <c r="A90" s="5">
        <v>76</v>
      </c>
      <c r="B90" s="207">
        <v>0</v>
      </c>
      <c r="C90" s="35">
        <f t="shared" si="18"/>
        <v>19.061093769968473</v>
      </c>
      <c r="D90" s="35">
        <f t="shared" si="19"/>
        <v>-0.13719183972309792</v>
      </c>
      <c r="E90" s="35">
        <f t="shared" si="20"/>
        <v>357.30567604099735</v>
      </c>
      <c r="F90" s="33">
        <f t="shared" si="12"/>
        <v>3411.5755191692938</v>
      </c>
      <c r="G90" s="34">
        <f t="shared" si="13"/>
        <v>1.137191839723098</v>
      </c>
      <c r="H90" s="6"/>
      <c r="I90" s="16"/>
      <c r="J90" s="33"/>
      <c r="K90" s="35">
        <f t="shared" si="14"/>
        <v>19.061093769968473</v>
      </c>
      <c r="L90" s="16">
        <f t="shared" si="15"/>
        <v>24</v>
      </c>
      <c r="M90" s="16">
        <f t="shared" si="16"/>
        <v>19.061093769968473</v>
      </c>
      <c r="N90" s="16">
        <f t="shared" si="21"/>
        <v>19.061093769968473</v>
      </c>
      <c r="O90" s="7"/>
      <c r="P90" s="57">
        <f t="shared" si="23"/>
        <v>23.780961106931702</v>
      </c>
      <c r="Q90" s="57">
        <f t="shared" si="22"/>
        <v>-2.4291428606307203E-2</v>
      </c>
      <c r="R90" s="103">
        <f t="shared" si="17"/>
        <v>0.79421224041535299</v>
      </c>
    </row>
    <row r="91" spans="1:18">
      <c r="A91" s="5">
        <v>77</v>
      </c>
      <c r="B91" s="207">
        <v>0</v>
      </c>
      <c r="C91" s="35">
        <f t="shared" si="18"/>
        <v>18.520762902489267</v>
      </c>
      <c r="D91" s="35">
        <f t="shared" si="19"/>
        <v>-0.15220103048640932</v>
      </c>
      <c r="E91" s="35">
        <f t="shared" si="20"/>
        <v>362.02156377882977</v>
      </c>
      <c r="F91" s="33">
        <f t="shared" si="12"/>
        <v>3456.6030914592279</v>
      </c>
      <c r="G91" s="34">
        <f t="shared" si="13"/>
        <v>1.1522010304864092</v>
      </c>
      <c r="H91" s="6"/>
      <c r="I91" s="16"/>
      <c r="J91" s="33"/>
      <c r="K91" s="35">
        <f t="shared" si="14"/>
        <v>18.520762902489267</v>
      </c>
      <c r="L91" s="16">
        <f t="shared" si="15"/>
        <v>24</v>
      </c>
      <c r="M91" s="16">
        <f t="shared" si="16"/>
        <v>18.520762902489267</v>
      </c>
      <c r="N91" s="16">
        <f t="shared" si="21"/>
        <v>18.520762902489267</v>
      </c>
      <c r="O91" s="7"/>
      <c r="P91" s="57">
        <f t="shared" si="23"/>
        <v>23.628760076445293</v>
      </c>
      <c r="Q91" s="57">
        <f t="shared" si="22"/>
        <v>-1.5009190763311392E-2</v>
      </c>
      <c r="R91" s="103">
        <f t="shared" si="17"/>
        <v>0.77169845427038608</v>
      </c>
    </row>
    <row r="92" spans="1:18">
      <c r="A92" s="5">
        <v>78</v>
      </c>
      <c r="B92" s="207">
        <v>0</v>
      </c>
      <c r="C92" s="35">
        <f t="shared" si="18"/>
        <v>18.18690320256222</v>
      </c>
      <c r="D92" s="35">
        <f t="shared" si="19"/>
        <v>-0.16147491103993827</v>
      </c>
      <c r="E92" s="35">
        <f t="shared" si="20"/>
        <v>364.9354170487486</v>
      </c>
      <c r="F92" s="33">
        <f t="shared" si="12"/>
        <v>3484.4247331198148</v>
      </c>
      <c r="G92" s="34">
        <f t="shared" si="13"/>
        <v>1.1614749110399383</v>
      </c>
      <c r="H92" s="6"/>
      <c r="I92" s="16"/>
      <c r="J92" s="33"/>
      <c r="K92" s="35">
        <f t="shared" si="14"/>
        <v>18.18690320256222</v>
      </c>
      <c r="L92" s="16">
        <f t="shared" si="15"/>
        <v>24</v>
      </c>
      <c r="M92" s="16">
        <f t="shared" si="16"/>
        <v>18.18690320256222</v>
      </c>
      <c r="N92" s="16">
        <f t="shared" si="21"/>
        <v>18.18690320256222</v>
      </c>
      <c r="O92" s="7"/>
      <c r="P92" s="57">
        <f t="shared" si="23"/>
        <v>23.467285165405354</v>
      </c>
      <c r="Q92" s="57">
        <f t="shared" si="22"/>
        <v>-9.273880553528957E-3</v>
      </c>
      <c r="R92" s="103">
        <f t="shared" si="17"/>
        <v>0.75778763344009248</v>
      </c>
    </row>
    <row r="93" spans="1:18">
      <c r="A93" s="5">
        <v>79</v>
      </c>
      <c r="B93" s="207">
        <v>0</v>
      </c>
      <c r="C93" s="35">
        <f t="shared" si="18"/>
        <v>17.980617931917998</v>
      </c>
      <c r="D93" s="35">
        <f t="shared" si="19"/>
        <v>-0.16720505744672223</v>
      </c>
      <c r="E93" s="35">
        <f t="shared" si="20"/>
        <v>366.73582904976013</v>
      </c>
      <c r="F93" s="33">
        <f t="shared" si="12"/>
        <v>3501.6151723401667</v>
      </c>
      <c r="G93" s="34">
        <f t="shared" si="13"/>
        <v>1.1672050574467223</v>
      </c>
      <c r="H93" s="6"/>
      <c r="I93" s="16"/>
      <c r="J93" s="33"/>
      <c r="K93" s="35">
        <f t="shared" si="14"/>
        <v>17.980617931917998</v>
      </c>
      <c r="L93" s="16">
        <f t="shared" si="15"/>
        <v>24</v>
      </c>
      <c r="M93" s="16">
        <f t="shared" si="16"/>
        <v>17.980617931917998</v>
      </c>
      <c r="N93" s="16">
        <f t="shared" si="21"/>
        <v>17.980617931917998</v>
      </c>
      <c r="O93" s="7"/>
      <c r="P93" s="57">
        <f t="shared" si="23"/>
        <v>23.300080107958632</v>
      </c>
      <c r="Q93" s="57">
        <f t="shared" si="22"/>
        <v>-5.7301464067839591E-3</v>
      </c>
      <c r="R93" s="103">
        <f t="shared" si="17"/>
        <v>0.74919241382991653</v>
      </c>
    </row>
    <row r="94" spans="1:18">
      <c r="A94" s="5">
        <v>80</v>
      </c>
      <c r="B94" s="207">
        <v>0</v>
      </c>
      <c r="C94" s="35">
        <f t="shared" si="18"/>
        <v>17.85315836463851</v>
      </c>
      <c r="D94" s="35">
        <f t="shared" si="19"/>
        <v>-0.17074560098226357</v>
      </c>
      <c r="E94" s="35">
        <f t="shared" si="20"/>
        <v>367.84826782862723</v>
      </c>
      <c r="F94" s="33">
        <f t="shared" si="12"/>
        <v>3512.2368029467907</v>
      </c>
      <c r="G94" s="34">
        <f t="shared" si="13"/>
        <v>1.1707456009822637</v>
      </c>
      <c r="H94" s="6"/>
      <c r="I94" s="16"/>
      <c r="J94" s="33"/>
      <c r="K94" s="35">
        <f t="shared" si="14"/>
        <v>17.85315836463851</v>
      </c>
      <c r="L94" s="16">
        <f t="shared" si="15"/>
        <v>24</v>
      </c>
      <c r="M94" s="16">
        <f t="shared" si="16"/>
        <v>17.85315836463851</v>
      </c>
      <c r="N94" s="16">
        <f t="shared" si="21"/>
        <v>17.85315836463851</v>
      </c>
      <c r="O94" s="7"/>
      <c r="P94" s="57">
        <f t="shared" si="23"/>
        <v>23.129334506976367</v>
      </c>
      <c r="Q94" s="57">
        <f t="shared" si="22"/>
        <v>-3.5405435355413406E-3</v>
      </c>
      <c r="R94" s="103">
        <f t="shared" si="17"/>
        <v>0.74388159852660463</v>
      </c>
    </row>
    <row r="95" spans="1:18">
      <c r="A95" s="5">
        <v>81</v>
      </c>
      <c r="B95" s="207">
        <v>0</v>
      </c>
      <c r="C95" s="35">
        <f t="shared" si="18"/>
        <v>17.774403632221897</v>
      </c>
      <c r="D95" s="35">
        <f t="shared" si="19"/>
        <v>-0.17293323243828065</v>
      </c>
      <c r="E95" s="35">
        <f t="shared" si="20"/>
        <v>368.53562163210779</v>
      </c>
      <c r="F95" s="33">
        <f t="shared" si="12"/>
        <v>3518.799697314842</v>
      </c>
      <c r="G95" s="34">
        <f t="shared" si="13"/>
        <v>1.1729332324382806</v>
      </c>
      <c r="H95" s="6"/>
      <c r="I95" s="16"/>
      <c r="J95" s="33"/>
      <c r="K95" s="35">
        <f t="shared" si="14"/>
        <v>17.774403632221897</v>
      </c>
      <c r="L95" s="16">
        <f t="shared" si="15"/>
        <v>24</v>
      </c>
      <c r="M95" s="16">
        <f t="shared" si="16"/>
        <v>17.774403632221897</v>
      </c>
      <c r="N95" s="16">
        <f t="shared" si="21"/>
        <v>17.774403632221897</v>
      </c>
      <c r="O95" s="7"/>
      <c r="P95" s="57">
        <f t="shared" si="23"/>
        <v>22.956401274538084</v>
      </c>
      <c r="Q95" s="57">
        <f t="shared" si="22"/>
        <v>-2.1876314560170806E-3</v>
      </c>
      <c r="R95" s="103">
        <f t="shared" si="17"/>
        <v>0.74060015134257906</v>
      </c>
    </row>
    <row r="96" spans="1:18">
      <c r="A96" s="5">
        <v>82</v>
      </c>
      <c r="B96" s="207">
        <v>0</v>
      </c>
      <c r="C96" s="35">
        <f t="shared" si="18"/>
        <v>17.725742648896794</v>
      </c>
      <c r="D96" s="35">
        <f t="shared" si="19"/>
        <v>-0.1742849264195335</v>
      </c>
      <c r="E96" s="35">
        <f t="shared" si="20"/>
        <v>368.96032388101742</v>
      </c>
      <c r="F96" s="33">
        <f t="shared" si="12"/>
        <v>3522.8547792586005</v>
      </c>
      <c r="G96" s="34">
        <f t="shared" si="13"/>
        <v>1.1742849264195334</v>
      </c>
      <c r="H96" s="6"/>
      <c r="I96" s="16"/>
      <c r="J96" s="33"/>
      <c r="K96" s="35">
        <f t="shared" si="14"/>
        <v>17.725742648896794</v>
      </c>
      <c r="L96" s="16">
        <f t="shared" si="15"/>
        <v>24</v>
      </c>
      <c r="M96" s="16">
        <f t="shared" si="16"/>
        <v>17.725742648896794</v>
      </c>
      <c r="N96" s="16">
        <f t="shared" si="21"/>
        <v>17.725742648896794</v>
      </c>
      <c r="O96" s="7"/>
      <c r="P96" s="57">
        <f t="shared" si="23"/>
        <v>22.782116348118549</v>
      </c>
      <c r="Q96" s="57">
        <f t="shared" si="22"/>
        <v>-1.3516939812528439E-3</v>
      </c>
      <c r="R96" s="103">
        <f t="shared" si="17"/>
        <v>0.73857261037069977</v>
      </c>
    </row>
    <row r="97" spans="1:18">
      <c r="A97" s="5">
        <v>83</v>
      </c>
      <c r="B97" s="207">
        <v>0</v>
      </c>
      <c r="C97" s="35">
        <f t="shared" si="18"/>
        <v>17.695675994798595</v>
      </c>
      <c r="D97" s="35">
        <f t="shared" si="19"/>
        <v>-0.17512011125559457</v>
      </c>
      <c r="E97" s="35">
        <f t="shared" si="20"/>
        <v>369.22273895650778</v>
      </c>
      <c r="F97" s="33">
        <f t="shared" si="12"/>
        <v>3525.3603337667837</v>
      </c>
      <c r="G97" s="34">
        <f t="shared" si="13"/>
        <v>1.1751201112555945</v>
      </c>
      <c r="H97" s="6"/>
      <c r="I97" s="16"/>
      <c r="J97" s="33"/>
      <c r="K97" s="35">
        <f t="shared" si="14"/>
        <v>17.695675994798595</v>
      </c>
      <c r="L97" s="16">
        <f t="shared" si="15"/>
        <v>24</v>
      </c>
      <c r="M97" s="16">
        <f t="shared" si="16"/>
        <v>17.695675994798595</v>
      </c>
      <c r="N97" s="16">
        <f t="shared" si="21"/>
        <v>17.695675994798595</v>
      </c>
      <c r="O97" s="7"/>
      <c r="P97" s="57">
        <f t="shared" si="23"/>
        <v>22.606996236862955</v>
      </c>
      <c r="Q97" s="57">
        <f t="shared" si="22"/>
        <v>-8.351848360610703E-4</v>
      </c>
      <c r="R97" s="103">
        <f t="shared" si="17"/>
        <v>0.73731983311660809</v>
      </c>
    </row>
    <row r="98" spans="1:18">
      <c r="A98" s="5">
        <v>84</v>
      </c>
      <c r="B98" s="207">
        <v>0</v>
      </c>
      <c r="C98" s="35">
        <f t="shared" si="18"/>
        <v>17.677098407029344</v>
      </c>
      <c r="D98" s="35">
        <f t="shared" si="19"/>
        <v>-0.175636155360296</v>
      </c>
      <c r="E98" s="35">
        <f t="shared" si="20"/>
        <v>369.38488001420501</v>
      </c>
      <c r="F98" s="33">
        <f t="shared" si="12"/>
        <v>3526.908466080888</v>
      </c>
      <c r="G98" s="34">
        <f t="shared" si="13"/>
        <v>1.1756361553602961</v>
      </c>
      <c r="H98" s="6"/>
      <c r="I98" s="16"/>
      <c r="J98" s="33"/>
      <c r="K98" s="35">
        <f t="shared" si="14"/>
        <v>17.677098407029344</v>
      </c>
      <c r="L98" s="16">
        <f t="shared" si="15"/>
        <v>24</v>
      </c>
      <c r="M98" s="16">
        <f t="shared" si="16"/>
        <v>17.677098407029344</v>
      </c>
      <c r="N98" s="16">
        <f t="shared" si="21"/>
        <v>17.677098407029344</v>
      </c>
      <c r="O98" s="7"/>
      <c r="P98" s="57">
        <f t="shared" si="23"/>
        <v>22.43136008150266</v>
      </c>
      <c r="Q98" s="57">
        <f t="shared" si="22"/>
        <v>-5.1604410470143525E-4</v>
      </c>
      <c r="R98" s="103">
        <f t="shared" si="17"/>
        <v>0.73654576695955598</v>
      </c>
    </row>
    <row r="99" spans="1:18">
      <c r="A99" s="5">
        <v>85</v>
      </c>
      <c r="B99" s="207">
        <v>0</v>
      </c>
      <c r="C99" s="35">
        <f t="shared" si="18"/>
        <v>17.665619684914226</v>
      </c>
      <c r="D99" s="35">
        <f t="shared" si="19"/>
        <v>-0.17595500875238257</v>
      </c>
      <c r="E99" s="35">
        <f t="shared" si="20"/>
        <v>369.48506374999857</v>
      </c>
      <c r="F99" s="33">
        <f t="shared" si="12"/>
        <v>3527.8650262571477</v>
      </c>
      <c r="G99" s="34">
        <f t="shared" si="13"/>
        <v>1.1759550087523827</v>
      </c>
      <c r="H99" s="6"/>
      <c r="I99" s="16"/>
      <c r="J99" s="33"/>
      <c r="K99" s="35">
        <f t="shared" si="14"/>
        <v>17.665619684914226</v>
      </c>
      <c r="L99" s="16">
        <f t="shared" si="15"/>
        <v>24</v>
      </c>
      <c r="M99" s="16">
        <f t="shared" si="16"/>
        <v>17.665619684914226</v>
      </c>
      <c r="N99" s="16">
        <f t="shared" si="21"/>
        <v>17.665619684914226</v>
      </c>
      <c r="O99" s="7"/>
      <c r="P99" s="57">
        <f t="shared" si="23"/>
        <v>22.255405072750278</v>
      </c>
      <c r="Q99" s="57">
        <f t="shared" si="22"/>
        <v>-3.1885339208656549E-4</v>
      </c>
      <c r="R99" s="103">
        <f t="shared" si="17"/>
        <v>0.73606748687142609</v>
      </c>
    </row>
    <row r="100" spans="1:18">
      <c r="A100" s="5">
        <v>86</v>
      </c>
      <c r="B100" s="207">
        <v>0</v>
      </c>
      <c r="C100" s="35">
        <f t="shared" si="18"/>
        <v>17.658527210744143</v>
      </c>
      <c r="D100" s="35">
        <f t="shared" si="19"/>
        <v>-0.1761520219237738</v>
      </c>
      <c r="E100" s="35">
        <f t="shared" si="20"/>
        <v>369.54696528844971</v>
      </c>
      <c r="F100" s="33">
        <f t="shared" si="12"/>
        <v>3528.4560657713214</v>
      </c>
      <c r="G100" s="34">
        <f t="shared" si="13"/>
        <v>1.1761520219237738</v>
      </c>
      <c r="H100" s="6"/>
      <c r="I100" s="16"/>
      <c r="J100" s="33"/>
      <c r="K100" s="35">
        <f t="shared" si="14"/>
        <v>17.658527210744143</v>
      </c>
      <c r="L100" s="16">
        <f t="shared" si="15"/>
        <v>24</v>
      </c>
      <c r="M100" s="16">
        <f t="shared" si="16"/>
        <v>17.658527210744143</v>
      </c>
      <c r="N100" s="16">
        <f t="shared" si="21"/>
        <v>17.658527210744143</v>
      </c>
      <c r="O100" s="7"/>
      <c r="P100" s="57">
        <f t="shared" si="23"/>
        <v>22.079253050826505</v>
      </c>
      <c r="Q100" s="57">
        <f t="shared" si="22"/>
        <v>-1.9701317139123042E-4</v>
      </c>
      <c r="R100" s="103">
        <f t="shared" si="17"/>
        <v>0.73577196711433934</v>
      </c>
    </row>
    <row r="101" spans="1:18">
      <c r="A101" s="5">
        <v>87</v>
      </c>
      <c r="B101" s="207">
        <v>0</v>
      </c>
      <c r="C101" s="35">
        <f t="shared" si="18"/>
        <v>17.65414491197004</v>
      </c>
      <c r="D101" s="35">
        <f t="shared" si="19"/>
        <v>-0.17627375244527668</v>
      </c>
      <c r="E101" s="35">
        <f t="shared" si="20"/>
        <v>369.58521301830592</v>
      </c>
      <c r="F101" s="33">
        <f t="shared" si="12"/>
        <v>3528.8212573358301</v>
      </c>
      <c r="G101" s="34">
        <f t="shared" si="13"/>
        <v>1.1762737524452767</v>
      </c>
      <c r="H101" s="6"/>
      <c r="I101" s="16"/>
      <c r="J101" s="33"/>
      <c r="K101" s="35">
        <f t="shared" si="14"/>
        <v>17.65414491197004</v>
      </c>
      <c r="L101" s="16">
        <f t="shared" si="15"/>
        <v>24</v>
      </c>
      <c r="M101" s="16">
        <f t="shared" si="16"/>
        <v>17.65414491197004</v>
      </c>
      <c r="N101" s="16">
        <f t="shared" si="21"/>
        <v>17.65414491197004</v>
      </c>
      <c r="O101" s="7"/>
      <c r="P101" s="57">
        <f t="shared" si="23"/>
        <v>21.902979298381229</v>
      </c>
      <c r="Q101" s="57">
        <f t="shared" si="22"/>
        <v>-1.2173052150288299E-4</v>
      </c>
      <c r="R101" s="103">
        <f t="shared" si="17"/>
        <v>0.73558937133208502</v>
      </c>
    </row>
    <row r="102" spans="1:18">
      <c r="A102" s="5">
        <v>88</v>
      </c>
      <c r="B102" s="207">
        <v>0</v>
      </c>
      <c r="C102" s="35">
        <f t="shared" si="18"/>
        <v>17.651437176688248</v>
      </c>
      <c r="D102" s="35">
        <f t="shared" si="19"/>
        <v>-0.17634896731421532</v>
      </c>
      <c r="E102" s="35">
        <f t="shared" si="20"/>
        <v>369.60884553012647</v>
      </c>
      <c r="F102" s="33">
        <f t="shared" si="12"/>
        <v>3529.0469019426459</v>
      </c>
      <c r="G102" s="34">
        <f t="shared" si="13"/>
        <v>1.1763489673142153</v>
      </c>
      <c r="H102" s="6"/>
      <c r="I102" s="16"/>
      <c r="J102" s="33"/>
      <c r="K102" s="35">
        <f t="shared" si="14"/>
        <v>17.651437176688248</v>
      </c>
      <c r="L102" s="16">
        <f t="shared" si="15"/>
        <v>24</v>
      </c>
      <c r="M102" s="16">
        <f t="shared" si="16"/>
        <v>17.651437176688248</v>
      </c>
      <c r="N102" s="16">
        <f t="shared" si="21"/>
        <v>17.651437176688248</v>
      </c>
      <c r="O102" s="7"/>
      <c r="P102" s="57">
        <f t="shared" si="23"/>
        <v>21.726630331067014</v>
      </c>
      <c r="Q102" s="57">
        <f t="shared" si="22"/>
        <v>-7.5214868938633384E-5</v>
      </c>
      <c r="R102" s="103">
        <f t="shared" si="17"/>
        <v>0.73547654902867698</v>
      </c>
    </row>
    <row r="103" spans="1:18">
      <c r="A103" s="5">
        <v>89</v>
      </c>
      <c r="B103" s="207">
        <v>0</v>
      </c>
      <c r="C103" s="35">
        <f t="shared" si="18"/>
        <v>17.649764120893977</v>
      </c>
      <c r="D103" s="35">
        <f t="shared" si="19"/>
        <v>-0.17639544108627842</v>
      </c>
      <c r="E103" s="35">
        <f t="shared" si="20"/>
        <v>369.62344758930868</v>
      </c>
      <c r="F103" s="33">
        <f t="shared" si="12"/>
        <v>3529.1863232588353</v>
      </c>
      <c r="G103" s="34">
        <f t="shared" si="13"/>
        <v>1.1763954410862785</v>
      </c>
      <c r="H103" s="6"/>
      <c r="I103" s="16"/>
      <c r="J103" s="33"/>
      <c r="K103" s="35">
        <f t="shared" si="14"/>
        <v>17.649764120893977</v>
      </c>
      <c r="L103" s="16">
        <f t="shared" si="15"/>
        <v>24</v>
      </c>
      <c r="M103" s="16">
        <f t="shared" si="16"/>
        <v>17.649764120893977</v>
      </c>
      <c r="N103" s="16">
        <f t="shared" si="21"/>
        <v>17.649764120893977</v>
      </c>
      <c r="O103" s="7"/>
      <c r="P103" s="57">
        <f t="shared" si="23"/>
        <v>21.550234889980736</v>
      </c>
      <c r="Q103" s="57">
        <f t="shared" si="22"/>
        <v>-4.6473772063099217E-5</v>
      </c>
      <c r="R103" s="103">
        <f t="shared" si="17"/>
        <v>0.73540683837058241</v>
      </c>
    </row>
    <row r="104" spans="1:18">
      <c r="A104" s="5">
        <v>90</v>
      </c>
      <c r="B104" s="207">
        <v>0</v>
      </c>
      <c r="C104" s="35">
        <f t="shared" si="18"/>
        <v>17.648730372983099</v>
      </c>
      <c r="D104" s="35">
        <f t="shared" si="19"/>
        <v>-0.17642415630602501</v>
      </c>
      <c r="E104" s="35">
        <f t="shared" si="20"/>
        <v>369.63246991135304</v>
      </c>
      <c r="F104" s="33">
        <f t="shared" si="12"/>
        <v>3529.272468918075</v>
      </c>
      <c r="G104" s="34">
        <f t="shared" si="13"/>
        <v>1.1764241563060249</v>
      </c>
      <c r="H104" s="6"/>
      <c r="I104" s="16"/>
      <c r="J104" s="33"/>
      <c r="K104" s="35">
        <f t="shared" si="14"/>
        <v>17.648730372983099</v>
      </c>
      <c r="L104" s="16">
        <f t="shared" si="15"/>
        <v>24</v>
      </c>
      <c r="M104" s="16">
        <f t="shared" si="16"/>
        <v>17.648730372983099</v>
      </c>
      <c r="N104" s="16">
        <f t="shared" si="21"/>
        <v>17.648730372983099</v>
      </c>
      <c r="O104" s="7"/>
      <c r="P104" s="57">
        <f t="shared" si="23"/>
        <v>21.373810733674709</v>
      </c>
      <c r="Q104" s="57">
        <f t="shared" si="22"/>
        <v>-2.8715219746594522E-5</v>
      </c>
      <c r="R104" s="103">
        <f t="shared" si="17"/>
        <v>0.7353637655409625</v>
      </c>
    </row>
    <row r="105" spans="1:18">
      <c r="A105" s="5">
        <v>91</v>
      </c>
      <c r="B105" s="207">
        <v>0</v>
      </c>
      <c r="C105" s="35">
        <f t="shared" si="18"/>
        <v>17.648091640702386</v>
      </c>
      <c r="D105" s="35">
        <f t="shared" si="19"/>
        <v>-0.17644189886937814</v>
      </c>
      <c r="E105" s="35">
        <f t="shared" si="20"/>
        <v>369.63804462475861</v>
      </c>
      <c r="F105" s="33">
        <f t="shared" si="12"/>
        <v>3529.3256966081344</v>
      </c>
      <c r="G105" s="34">
        <f t="shared" si="13"/>
        <v>1.1764418988693781</v>
      </c>
      <c r="H105" s="6"/>
      <c r="I105" s="16"/>
      <c r="J105" s="33"/>
      <c r="K105" s="35">
        <f t="shared" si="14"/>
        <v>17.648091640702386</v>
      </c>
      <c r="L105" s="16">
        <f t="shared" si="15"/>
        <v>24</v>
      </c>
      <c r="M105" s="16">
        <f t="shared" si="16"/>
        <v>17.648091640702386</v>
      </c>
      <c r="N105" s="16">
        <f t="shared" si="21"/>
        <v>17.648091640702386</v>
      </c>
      <c r="O105" s="7"/>
      <c r="P105" s="57">
        <f t="shared" si="23"/>
        <v>21.197368834805332</v>
      </c>
      <c r="Q105" s="57">
        <f t="shared" si="22"/>
        <v>-1.7742563353129182E-5</v>
      </c>
      <c r="R105" s="103">
        <f t="shared" si="17"/>
        <v>0.73533715169593272</v>
      </c>
    </row>
    <row r="106" spans="1:18">
      <c r="A106" s="5">
        <v>92</v>
      </c>
      <c r="B106" s="207">
        <v>0</v>
      </c>
      <c r="C106" s="35">
        <f t="shared" si="18"/>
        <v>17.647696980725684</v>
      </c>
      <c r="D106" s="35">
        <f t="shared" si="19"/>
        <v>-0.17645286164650875</v>
      </c>
      <c r="E106" s="35">
        <f t="shared" si="20"/>
        <v>369.64148912933308</v>
      </c>
      <c r="F106" s="33">
        <f t="shared" si="12"/>
        <v>3529.3585849395263</v>
      </c>
      <c r="G106" s="34">
        <f t="shared" si="13"/>
        <v>1.1764528616465089</v>
      </c>
      <c r="H106" s="6"/>
      <c r="I106" s="16"/>
      <c r="J106" s="33"/>
      <c r="K106" s="35">
        <f t="shared" si="14"/>
        <v>17.647696980725684</v>
      </c>
      <c r="L106" s="16">
        <f t="shared" si="15"/>
        <v>24</v>
      </c>
      <c r="M106" s="16">
        <f t="shared" si="16"/>
        <v>17.647696980725684</v>
      </c>
      <c r="N106" s="16">
        <f t="shared" si="21"/>
        <v>17.647696980725684</v>
      </c>
      <c r="O106" s="7"/>
      <c r="P106" s="57">
        <f t="shared" si="23"/>
        <v>21.020915973158822</v>
      </c>
      <c r="Q106" s="57">
        <f t="shared" si="22"/>
        <v>-1.0962777130613111E-5</v>
      </c>
      <c r="R106" s="103">
        <f t="shared" si="17"/>
        <v>0.73532070753023682</v>
      </c>
    </row>
    <row r="107" spans="1:18">
      <c r="A107" s="5">
        <v>93</v>
      </c>
      <c r="B107" s="207">
        <v>0</v>
      </c>
      <c r="C107" s="35">
        <f t="shared" si="18"/>
        <v>17.647453128172874</v>
      </c>
      <c r="D107" s="35">
        <f t="shared" si="19"/>
        <v>-0.17645963532853132</v>
      </c>
      <c r="E107" s="35">
        <f t="shared" si="20"/>
        <v>369.64361742022453</v>
      </c>
      <c r="F107" s="33">
        <f t="shared" si="12"/>
        <v>3529.378905985594</v>
      </c>
      <c r="G107" s="34">
        <f t="shared" si="13"/>
        <v>1.1764596353285313</v>
      </c>
      <c r="H107" s="6"/>
      <c r="I107" s="16"/>
      <c r="J107" s="33"/>
      <c r="K107" s="35">
        <f t="shared" si="14"/>
        <v>17.647453128172874</v>
      </c>
      <c r="L107" s="16">
        <f t="shared" si="15"/>
        <v>24</v>
      </c>
      <c r="M107" s="16">
        <f t="shared" si="16"/>
        <v>17.647453128172874</v>
      </c>
      <c r="N107" s="16">
        <f t="shared" si="21"/>
        <v>17.647453128172874</v>
      </c>
      <c r="O107" s="7"/>
      <c r="P107" s="57">
        <f t="shared" si="23"/>
        <v>20.844456337830291</v>
      </c>
      <c r="Q107" s="57">
        <f t="shared" si="22"/>
        <v>-6.7736820225650085E-6</v>
      </c>
      <c r="R107" s="103">
        <f t="shared" si="17"/>
        <v>0.73531054700720311</v>
      </c>
    </row>
    <row r="108" spans="1:18">
      <c r="A108" s="5">
        <v>94</v>
      </c>
      <c r="B108" s="207">
        <v>0</v>
      </c>
      <c r="C108" s="35">
        <f t="shared" si="18"/>
        <v>17.647302456528873</v>
      </c>
      <c r="D108" s="35">
        <f t="shared" si="19"/>
        <v>-0.17646382065197577</v>
      </c>
      <c r="E108" s="35">
        <f t="shared" si="20"/>
        <v>369.64493244885074</v>
      </c>
      <c r="F108" s="33">
        <f t="shared" si="12"/>
        <v>3529.3914619559273</v>
      </c>
      <c r="G108" s="34">
        <f t="shared" si="13"/>
        <v>1.1764638206519757</v>
      </c>
      <c r="H108" s="6"/>
      <c r="I108" s="16"/>
      <c r="J108" s="33"/>
      <c r="K108" s="35">
        <f t="shared" si="14"/>
        <v>17.647302456528873</v>
      </c>
      <c r="L108" s="16">
        <f t="shared" si="15"/>
        <v>24</v>
      </c>
      <c r="M108" s="16">
        <f t="shared" si="16"/>
        <v>17.647302456528873</v>
      </c>
      <c r="N108" s="16">
        <f t="shared" si="21"/>
        <v>17.647302456528873</v>
      </c>
      <c r="O108" s="7"/>
      <c r="P108" s="57">
        <f t="shared" si="23"/>
        <v>20.667992517178316</v>
      </c>
      <c r="Q108" s="57">
        <f t="shared" si="22"/>
        <v>-4.1853234444555465E-6</v>
      </c>
      <c r="R108" s="103">
        <f t="shared" si="17"/>
        <v>0.73530426902203638</v>
      </c>
    </row>
    <row r="109" spans="1:18">
      <c r="A109" s="5">
        <v>95</v>
      </c>
      <c r="B109" s="207">
        <v>0</v>
      </c>
      <c r="C109" s="35">
        <f t="shared" si="18"/>
        <v>17.647209359515767</v>
      </c>
      <c r="D109" s="35">
        <f t="shared" si="19"/>
        <v>-0.17646640668011757</v>
      </c>
      <c r="E109" s="35">
        <f t="shared" si="20"/>
        <v>369.64574497889294</v>
      </c>
      <c r="F109" s="33">
        <f t="shared" si="12"/>
        <v>3529.3992200403527</v>
      </c>
      <c r="G109" s="34">
        <f t="shared" si="13"/>
        <v>1.1764664066801176</v>
      </c>
      <c r="H109" s="6"/>
      <c r="I109" s="16"/>
      <c r="J109" s="33"/>
      <c r="K109" s="35">
        <f t="shared" si="14"/>
        <v>17.647209359515767</v>
      </c>
      <c r="L109" s="16">
        <f t="shared" si="15"/>
        <v>24</v>
      </c>
      <c r="M109" s="16">
        <f t="shared" si="16"/>
        <v>17.647209359515767</v>
      </c>
      <c r="N109" s="16">
        <f t="shared" si="21"/>
        <v>17.647209359515767</v>
      </c>
      <c r="O109" s="7"/>
      <c r="P109" s="57">
        <f t="shared" si="23"/>
        <v>20.491526110498199</v>
      </c>
      <c r="Q109" s="57">
        <f t="shared" si="22"/>
        <v>-2.5860281417933173E-6</v>
      </c>
      <c r="R109" s="103">
        <f t="shared" si="17"/>
        <v>0.73530038997982361</v>
      </c>
    </row>
    <row r="110" spans="1:18">
      <c r="A110" s="5">
        <v>96</v>
      </c>
      <c r="B110" s="207">
        <v>0</v>
      </c>
      <c r="C110" s="35">
        <f t="shared" si="18"/>
        <v>17.647151836722355</v>
      </c>
      <c r="D110" s="35">
        <f t="shared" si="19"/>
        <v>-0.17646800453549016</v>
      </c>
      <c r="E110" s="35">
        <f t="shared" si="20"/>
        <v>369.64624702505097</v>
      </c>
      <c r="F110" s="33">
        <f t="shared" si="12"/>
        <v>3529.4040136064705</v>
      </c>
      <c r="G110" s="34">
        <f t="shared" si="13"/>
        <v>1.1764680045354901</v>
      </c>
      <c r="H110" s="6"/>
      <c r="I110" s="16"/>
      <c r="J110" s="33"/>
      <c r="K110" s="35">
        <f t="shared" si="14"/>
        <v>17.647151836722355</v>
      </c>
      <c r="L110" s="16">
        <f t="shared" si="15"/>
        <v>24</v>
      </c>
      <c r="M110" s="16">
        <f t="shared" si="16"/>
        <v>17.647151836722355</v>
      </c>
      <c r="N110" s="16">
        <f t="shared" si="21"/>
        <v>17.647151836722355</v>
      </c>
      <c r="O110" s="7"/>
      <c r="P110" s="57">
        <f t="shared" si="23"/>
        <v>20.315058105962709</v>
      </c>
      <c r="Q110" s="57">
        <f t="shared" si="22"/>
        <v>-1.5978553725981559E-6</v>
      </c>
      <c r="R110" s="103">
        <f t="shared" si="17"/>
        <v>0.73529799319676481</v>
      </c>
    </row>
    <row r="111" spans="1:18">
      <c r="A111" s="5">
        <v>97</v>
      </c>
      <c r="B111" s="207">
        <v>0</v>
      </c>
      <c r="C111" s="35">
        <f t="shared" si="18"/>
        <v>17.647116294532005</v>
      </c>
      <c r="D111" s="35">
        <f t="shared" si="19"/>
        <v>-0.17646899181855541</v>
      </c>
      <c r="E111" s="35">
        <f t="shared" si="20"/>
        <v>369.64655722939011</v>
      </c>
      <c r="F111" s="33">
        <f t="shared" si="12"/>
        <v>3529.4069754556663</v>
      </c>
      <c r="G111" s="34">
        <f t="shared" si="13"/>
        <v>1.1764689918185554</v>
      </c>
      <c r="H111" s="6"/>
      <c r="I111" s="16"/>
      <c r="J111" s="33"/>
      <c r="K111" s="35">
        <f t="shared" si="14"/>
        <v>17.647116294532005</v>
      </c>
      <c r="L111" s="16">
        <f t="shared" si="15"/>
        <v>24</v>
      </c>
      <c r="M111" s="16">
        <f t="shared" si="16"/>
        <v>17.647116294532005</v>
      </c>
      <c r="N111" s="16">
        <f t="shared" si="21"/>
        <v>17.647116294532005</v>
      </c>
      <c r="O111" s="7"/>
      <c r="P111" s="57">
        <f t="shared" si="23"/>
        <v>20.138589114144153</v>
      </c>
      <c r="Q111" s="57">
        <f t="shared" si="22"/>
        <v>-9.8728306524575871E-7</v>
      </c>
      <c r="R111" s="103">
        <f t="shared" si="17"/>
        <v>0.73529651227216686</v>
      </c>
    </row>
    <row r="112" spans="1:18">
      <c r="A112" s="5">
        <v>98</v>
      </c>
      <c r="B112" s="207">
        <v>0</v>
      </c>
      <c r="C112" s="35">
        <f t="shared" si="18"/>
        <v>17.647094333719249</v>
      </c>
      <c r="D112" s="35">
        <f t="shared" si="19"/>
        <v>-0.176469601841132</v>
      </c>
      <c r="E112" s="35">
        <f t="shared" si="20"/>
        <v>369.64674889848368</v>
      </c>
      <c r="F112" s="33">
        <f t="shared" si="12"/>
        <v>3529.408805523396</v>
      </c>
      <c r="G112" s="34">
        <f t="shared" si="13"/>
        <v>1.176469601841132</v>
      </c>
      <c r="H112" s="6"/>
      <c r="I112" s="16"/>
      <c r="J112" s="33"/>
      <c r="K112" s="35">
        <f t="shared" si="14"/>
        <v>17.647094333719249</v>
      </c>
      <c r="L112" s="16">
        <f t="shared" si="15"/>
        <v>24</v>
      </c>
      <c r="M112" s="16">
        <f t="shared" si="16"/>
        <v>17.647094333719249</v>
      </c>
      <c r="N112" s="16">
        <f t="shared" si="21"/>
        <v>17.647094333719249</v>
      </c>
      <c r="O112" s="7"/>
      <c r="P112" s="57">
        <f t="shared" si="23"/>
        <v>19.962119512303023</v>
      </c>
      <c r="Q112" s="57">
        <f t="shared" si="22"/>
        <v>-6.1002257659148462E-7</v>
      </c>
      <c r="R112" s="103">
        <f t="shared" si="17"/>
        <v>0.73529559723830207</v>
      </c>
    </row>
    <row r="113" spans="1:18" ht="16" thickBot="1">
      <c r="A113" s="8">
        <v>99</v>
      </c>
      <c r="B113" s="207">
        <v>0</v>
      </c>
      <c r="C113" s="35">
        <f t="shared" si="18"/>
        <v>17.647080764569679</v>
      </c>
      <c r="D113" s="35">
        <f t="shared" si="19"/>
        <v>-0.17646997876195336</v>
      </c>
      <c r="E113" s="35">
        <f t="shared" si="20"/>
        <v>369.64686732700574</v>
      </c>
      <c r="F113" s="36">
        <f t="shared" si="12"/>
        <v>3529.4099362858601</v>
      </c>
      <c r="G113" s="37">
        <f t="shared" si="13"/>
        <v>1.1764699787619535</v>
      </c>
      <c r="H113" s="6"/>
      <c r="I113" s="16"/>
      <c r="J113" s="33"/>
      <c r="K113" s="35">
        <f t="shared" si="14"/>
        <v>17.647080764569679</v>
      </c>
      <c r="L113" s="16">
        <f t="shared" si="15"/>
        <v>24</v>
      </c>
      <c r="M113" s="16">
        <f t="shared" si="16"/>
        <v>17.647080764569679</v>
      </c>
      <c r="N113" s="16">
        <f t="shared" si="21"/>
        <v>17.647080764569679</v>
      </c>
      <c r="O113" s="11"/>
      <c r="P113" s="57">
        <f t="shared" si="23"/>
        <v>19.785649533541068</v>
      </c>
      <c r="Q113" s="57">
        <f t="shared" si="22"/>
        <v>-3.7692082135998284E-7</v>
      </c>
      <c r="R113" s="103">
        <f t="shared" si="17"/>
        <v>0.73529503185707001</v>
      </c>
    </row>
  </sheetData>
  <mergeCells count="1">
    <mergeCell ref="A11:E1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workbookViewId="0">
      <selection activeCell="E24" sqref="E24"/>
    </sheetView>
  </sheetViews>
  <sheetFormatPr baseColWidth="10" defaultRowHeight="15" x14ac:dyDescent="0"/>
  <cols>
    <col min="2" max="2" width="13.1640625" customWidth="1"/>
    <col min="5" max="5" width="11.5" customWidth="1"/>
    <col min="13" max="13" width="12" customWidth="1"/>
  </cols>
  <sheetData>
    <row r="1" spans="1:18">
      <c r="A1" t="s">
        <v>134</v>
      </c>
      <c r="E1" t="s">
        <v>135</v>
      </c>
      <c r="F1" t="s">
        <v>136</v>
      </c>
      <c r="H1" t="s">
        <v>88</v>
      </c>
      <c r="I1" s="2" t="s">
        <v>90</v>
      </c>
      <c r="J1" s="22">
        <f>Steuerung!I4</f>
        <v>3</v>
      </c>
      <c r="K1" s="4" t="s">
        <v>93</v>
      </c>
      <c r="M1" t="s">
        <v>129</v>
      </c>
      <c r="R1" t="s">
        <v>118</v>
      </c>
    </row>
    <row r="2" spans="1:18">
      <c r="A2" t="s">
        <v>85</v>
      </c>
      <c r="E2" t="s">
        <v>86</v>
      </c>
      <c r="F2" t="s">
        <v>87</v>
      </c>
      <c r="H2" t="s">
        <v>89</v>
      </c>
      <c r="I2" s="5" t="s">
        <v>82</v>
      </c>
      <c r="J2" s="63">
        <f>Steuerung!O11*0.001</f>
        <v>1E-3</v>
      </c>
      <c r="K2" s="7" t="s">
        <v>94</v>
      </c>
      <c r="M2" t="s">
        <v>128</v>
      </c>
    </row>
    <row r="3" spans="1:18">
      <c r="I3" s="5" t="s">
        <v>91</v>
      </c>
      <c r="J3" s="14">
        <f>Steuerung!I2/Steuerung!D2</f>
        <v>4.7740292807129214E-2</v>
      </c>
      <c r="K3" s="7" t="s">
        <v>95</v>
      </c>
    </row>
    <row r="4" spans="1:18">
      <c r="A4" t="s">
        <v>108</v>
      </c>
      <c r="E4" s="91" t="s">
        <v>98</v>
      </c>
      <c r="F4" s="92">
        <f>-J1/J2</f>
        <v>-3000</v>
      </c>
      <c r="G4" s="93" t="s">
        <v>35</v>
      </c>
      <c r="I4" s="5" t="s">
        <v>92</v>
      </c>
      <c r="J4" s="16">
        <f>Steuerung!I6</f>
        <v>20.946666666666665</v>
      </c>
      <c r="K4" s="7" t="s">
        <v>37</v>
      </c>
      <c r="M4" s="91" t="s">
        <v>125</v>
      </c>
      <c r="N4" s="92">
        <f>F4*C11</f>
        <v>-30</v>
      </c>
      <c r="O4" s="93"/>
    </row>
    <row r="5" spans="1:18" ht="16" thickBot="1">
      <c r="A5" t="s">
        <v>109</v>
      </c>
      <c r="B5" t="s">
        <v>112</v>
      </c>
      <c r="E5" s="94" t="s">
        <v>99</v>
      </c>
      <c r="F5" s="16">
        <f>-1/(J4*J2)</f>
        <v>-47.740292807129222</v>
      </c>
      <c r="G5" s="95" t="s">
        <v>8</v>
      </c>
      <c r="I5" s="8" t="s">
        <v>97</v>
      </c>
      <c r="J5" s="10">
        <f>Steuerung!D5*Steuerung!E5</f>
        <v>5.9999999999999995E-5</v>
      </c>
      <c r="K5" s="11" t="str">
        <f>Steuerung!F5</f>
        <v>kg m2</v>
      </c>
      <c r="M5" s="94" t="s">
        <v>120</v>
      </c>
      <c r="N5" s="16">
        <f>F5*C11</f>
        <v>-0.47740292807129225</v>
      </c>
      <c r="O5" s="95" t="s">
        <v>126</v>
      </c>
    </row>
    <row r="6" spans="1:18">
      <c r="A6" t="s">
        <v>110</v>
      </c>
      <c r="B6" t="s">
        <v>113</v>
      </c>
      <c r="E6" s="94" t="s">
        <v>100</v>
      </c>
      <c r="F6" s="96">
        <f>J3/J5</f>
        <v>795.67154678548695</v>
      </c>
      <c r="G6" s="95" t="s">
        <v>106</v>
      </c>
      <c r="I6" s="58" t="s">
        <v>117</v>
      </c>
      <c r="J6">
        <f>2*3.142</f>
        <v>6.2839999999999998</v>
      </c>
      <c r="M6" s="94" t="s">
        <v>121</v>
      </c>
      <c r="N6" s="16">
        <f>F6*C11</f>
        <v>7.9567154678548695</v>
      </c>
      <c r="O6" s="95" t="s">
        <v>105</v>
      </c>
    </row>
    <row r="7" spans="1:18">
      <c r="E7" s="94" t="s">
        <v>101</v>
      </c>
      <c r="F7" s="6">
        <v>0</v>
      </c>
      <c r="G7" s="95"/>
      <c r="M7" s="94" t="s">
        <v>122</v>
      </c>
      <c r="N7" s="6">
        <f>F7</f>
        <v>0</v>
      </c>
      <c r="O7" s="95"/>
    </row>
    <row r="8" spans="1:18">
      <c r="E8" s="94" t="s">
        <v>102</v>
      </c>
      <c r="F8" s="6">
        <f>1/J2</f>
        <v>1000</v>
      </c>
      <c r="G8" s="95" t="s">
        <v>104</v>
      </c>
      <c r="M8" s="94" t="s">
        <v>123</v>
      </c>
      <c r="N8" s="6">
        <f>F8*C11</f>
        <v>10</v>
      </c>
      <c r="O8" s="95" t="s">
        <v>127</v>
      </c>
    </row>
    <row r="9" spans="1:18">
      <c r="E9" s="97" t="s">
        <v>103</v>
      </c>
      <c r="F9" s="98">
        <v>0</v>
      </c>
      <c r="G9" s="99"/>
      <c r="M9" s="97" t="s">
        <v>124</v>
      </c>
      <c r="N9" s="98">
        <v>0</v>
      </c>
      <c r="O9" s="99"/>
    </row>
    <row r="10" spans="1:18" ht="16" thickBot="1">
      <c r="M10" s="100" t="s">
        <v>130</v>
      </c>
      <c r="N10" s="101"/>
      <c r="O10" s="102">
        <f>1-N4-N5*N6</f>
        <v>34.798559262184057</v>
      </c>
    </row>
    <row r="11" spans="1:18" ht="16" thickBot="1">
      <c r="A11" s="18" t="s">
        <v>16</v>
      </c>
      <c r="B11" s="19" t="s">
        <v>111</v>
      </c>
      <c r="C11" s="19">
        <v>0.01</v>
      </c>
      <c r="D11" s="25" t="s">
        <v>34</v>
      </c>
      <c r="E11" s="19" t="s">
        <v>69</v>
      </c>
      <c r="F11" s="19"/>
      <c r="G11" s="26"/>
    </row>
    <row r="13" spans="1:18">
      <c r="A13" s="64" t="s">
        <v>17</v>
      </c>
      <c r="B13" s="119" t="s">
        <v>107</v>
      </c>
      <c r="C13" s="64" t="s">
        <v>114</v>
      </c>
      <c r="D13" s="64" t="s">
        <v>115</v>
      </c>
      <c r="E13" s="119" t="s">
        <v>116</v>
      </c>
      <c r="F13" s="64" t="s">
        <v>131</v>
      </c>
      <c r="G13" s="64" t="s">
        <v>132</v>
      </c>
      <c r="H13" s="64" t="s">
        <v>133</v>
      </c>
    </row>
    <row r="14" spans="1:18">
      <c r="A14" s="87">
        <v>-1</v>
      </c>
      <c r="B14" s="88">
        <v>0</v>
      </c>
      <c r="C14" s="88">
        <v>0</v>
      </c>
      <c r="D14" s="88">
        <v>0</v>
      </c>
      <c r="E14" s="88"/>
      <c r="F14" s="88">
        <f>B14/Steuerung!$D$4</f>
        <v>0</v>
      </c>
      <c r="G14" s="89" t="s">
        <v>119</v>
      </c>
      <c r="H14" s="90"/>
    </row>
    <row r="15" spans="1:18">
      <c r="A15" s="64">
        <v>0</v>
      </c>
      <c r="B15" s="64">
        <v>24</v>
      </c>
      <c r="C15" s="103">
        <f>(C14 +$N$8*B15 +$N$5*D14)/$O$10</f>
        <v>6.896837256731212</v>
      </c>
      <c r="D15" s="103">
        <f>$N$6*C15+D14</f>
        <v>54.876171679910982</v>
      </c>
      <c r="E15" s="144">
        <f>D15/$J$6</f>
        <v>8.7326816804441414</v>
      </c>
      <c r="F15" s="64">
        <f>B15/Steuerung!$D$4</f>
        <v>1</v>
      </c>
      <c r="G15" s="103">
        <f>C15/Steuerung!$D$2</f>
        <v>2.2989457522437373</v>
      </c>
      <c r="H15" s="57">
        <f>60*E15/Steuerung!$D$1</f>
        <v>0.17465363360888284</v>
      </c>
    </row>
    <row r="16" spans="1:18">
      <c r="A16" s="64">
        <v>1</v>
      </c>
      <c r="B16" s="64">
        <v>24</v>
      </c>
      <c r="C16" s="103">
        <f t="shared" ref="C16:C79" si="0">(C15 +$N$8*B16 +$N$5*D15)/$O$10</f>
        <v>6.3421818861114279</v>
      </c>
      <c r="D16" s="103">
        <f t="shared" ref="D16:D79" si="1">$N$6*C16+D15</f>
        <v>105.33910839308275</v>
      </c>
      <c r="E16" s="144">
        <f t="shared" ref="E16:E79" si="2">D16/$J$6</f>
        <v>16.763066262425646</v>
      </c>
      <c r="F16" s="64">
        <f>B16/Steuerung!$D$4</f>
        <v>1</v>
      </c>
      <c r="G16" s="103">
        <f>C16/Steuerung!$D$2</f>
        <v>2.1140606287038093</v>
      </c>
      <c r="H16" s="57">
        <f>60*E16/Steuerung!$D$1</f>
        <v>0.33526132524851293</v>
      </c>
    </row>
    <row r="17" spans="1:8">
      <c r="A17" s="64">
        <v>2</v>
      </c>
      <c r="B17" s="64">
        <v>24</v>
      </c>
      <c r="C17" s="103">
        <f t="shared" si="0"/>
        <v>5.6339396588722348</v>
      </c>
      <c r="D17" s="103">
        <f t="shared" si="1"/>
        <v>150.16676322179245</v>
      </c>
      <c r="E17" s="144">
        <f t="shared" si="2"/>
        <v>23.896684153690714</v>
      </c>
      <c r="F17" s="64">
        <f>B17/Steuerung!$D$4</f>
        <v>1</v>
      </c>
      <c r="G17" s="103">
        <f>C17/Steuerung!$D$2</f>
        <v>1.8779798862907449</v>
      </c>
      <c r="H17" s="57">
        <f>60*E17/Steuerung!$D$1</f>
        <v>0.47793368307381429</v>
      </c>
    </row>
    <row r="18" spans="1:8">
      <c r="A18" s="64">
        <v>3</v>
      </c>
      <c r="B18" s="64">
        <v>24</v>
      </c>
      <c r="C18" s="103">
        <f t="shared" si="0"/>
        <v>4.9985945075268283</v>
      </c>
      <c r="D18" s="103">
        <f t="shared" si="1"/>
        <v>189.93915745736555</v>
      </c>
      <c r="E18" s="144">
        <f t="shared" si="2"/>
        <v>30.225836641846843</v>
      </c>
      <c r="F18" s="64">
        <f>B18/Steuerung!$D$4</f>
        <v>1</v>
      </c>
      <c r="G18" s="103">
        <f>C18/Steuerung!$D$2</f>
        <v>1.6661981691756094</v>
      </c>
      <c r="H18" s="57">
        <f>60*E18/Steuerung!$D$1</f>
        <v>0.60451673283693685</v>
      </c>
    </row>
    <row r="19" spans="1:8">
      <c r="A19" s="64">
        <v>4</v>
      </c>
      <c r="B19" s="64">
        <v>24</v>
      </c>
      <c r="C19" s="103">
        <f t="shared" si="0"/>
        <v>4.4346975235175483</v>
      </c>
      <c r="D19" s="103">
        <f t="shared" si="1"/>
        <v>225.22478383799532</v>
      </c>
      <c r="E19" s="144">
        <f t="shared" si="2"/>
        <v>35.840990426160936</v>
      </c>
      <c r="F19" s="64">
        <f>B19/Steuerung!$D$4</f>
        <v>1</v>
      </c>
      <c r="G19" s="103">
        <f>C19/Steuerung!$D$2</f>
        <v>1.4782325078391827</v>
      </c>
      <c r="H19" s="57">
        <f>60*E19/Steuerung!$D$1</f>
        <v>0.71681980852321869</v>
      </c>
    </row>
    <row r="20" spans="1:8">
      <c r="A20" s="64">
        <v>5</v>
      </c>
      <c r="B20" s="64">
        <v>24</v>
      </c>
      <c r="C20" s="103">
        <f t="shared" si="0"/>
        <v>3.9344078935422497</v>
      </c>
      <c r="D20" s="103">
        <f t="shared" si="1"/>
        <v>256.52974798139326</v>
      </c>
      <c r="E20" s="144">
        <f t="shared" si="2"/>
        <v>40.822684274569262</v>
      </c>
      <c r="F20" s="64">
        <f>B20/Steuerung!$D$4</f>
        <v>1</v>
      </c>
      <c r="G20" s="103">
        <f>C20/Steuerung!$D$2</f>
        <v>1.3114692978474165</v>
      </c>
      <c r="H20" s="57">
        <f>60*E20/Steuerung!$D$1</f>
        <v>0.81645368549138519</v>
      </c>
    </row>
    <row r="21" spans="1:8">
      <c r="A21" s="64">
        <v>6</v>
      </c>
      <c r="B21" s="64">
        <v>24</v>
      </c>
      <c r="C21" s="103">
        <f t="shared" si="0"/>
        <v>3.4905570128540679</v>
      </c>
      <c r="D21" s="103">
        <f t="shared" si="1"/>
        <v>284.30311695699851</v>
      </c>
      <c r="E21" s="144">
        <f t="shared" si="2"/>
        <v>45.242380165022041</v>
      </c>
      <c r="F21" s="64">
        <f>B21/Steuerung!$D$4</f>
        <v>1</v>
      </c>
      <c r="G21" s="103">
        <f>C21/Steuerung!$D$2</f>
        <v>1.1635190042846892</v>
      </c>
      <c r="H21" s="57">
        <f>60*E21/Steuerung!$D$1</f>
        <v>0.90484760330044078</v>
      </c>
    </row>
    <row r="22" spans="1:8">
      <c r="A22" s="64">
        <v>7</v>
      </c>
      <c r="B22" s="64">
        <v>24</v>
      </c>
      <c r="C22" s="103">
        <f t="shared" si="0"/>
        <v>3.0967781081355139</v>
      </c>
      <c r="D22" s="103">
        <f t="shared" si="1"/>
        <v>308.9432992305147</v>
      </c>
      <c r="E22" s="144">
        <f t="shared" si="2"/>
        <v>49.163478553551037</v>
      </c>
      <c r="F22" s="64">
        <f>B22/Steuerung!$D$4</f>
        <v>1</v>
      </c>
      <c r="G22" s="103">
        <f>C22/Steuerung!$D$2</f>
        <v>1.0322593693785047</v>
      </c>
      <c r="H22" s="57">
        <f>60*E22/Steuerung!$D$1</f>
        <v>0.98326957107102075</v>
      </c>
    </row>
    <row r="23" spans="1:8">
      <c r="A23" s="64">
        <v>8</v>
      </c>
      <c r="B23" s="64">
        <v>24</v>
      </c>
      <c r="C23" s="103">
        <f t="shared" si="0"/>
        <v>2.7474224357149968</v>
      </c>
      <c r="D23" s="103">
        <f t="shared" si="1"/>
        <v>330.80375782149969</v>
      </c>
      <c r="E23" s="144">
        <f t="shared" si="2"/>
        <v>52.642227533656857</v>
      </c>
      <c r="F23" s="64">
        <f>B23/Steuerung!$D$4</f>
        <v>1</v>
      </c>
      <c r="G23" s="103">
        <f>C23/Steuerung!$D$2</f>
        <v>0.91580747857166556</v>
      </c>
      <c r="H23" s="57">
        <f>60*E23/Steuerung!$D$1</f>
        <v>1.0528445506731372</v>
      </c>
    </row>
    <row r="24" spans="1:8">
      <c r="A24" s="64">
        <v>9</v>
      </c>
      <c r="B24" s="64">
        <v>24</v>
      </c>
      <c r="C24" s="103">
        <f t="shared" si="0"/>
        <v>2.4374784943157106</v>
      </c>
      <c r="D24" s="103">
        <f t="shared" si="1"/>
        <v>350.19808065978509</v>
      </c>
      <c r="E24" s="144">
        <f t="shared" si="2"/>
        <v>55.728529703975987</v>
      </c>
      <c r="F24" s="64">
        <f>B24/Steuerung!$D$4</f>
        <v>1</v>
      </c>
      <c r="G24" s="103">
        <f>C24/Steuerung!$D$2</f>
        <v>0.81249283143857021</v>
      </c>
      <c r="H24" s="57">
        <f>60*E24/Steuerung!$D$1</f>
        <v>1.1145705940795199</v>
      </c>
    </row>
    <row r="25" spans="1:8">
      <c r="A25" s="64">
        <v>10</v>
      </c>
      <c r="B25" s="64">
        <v>24</v>
      </c>
      <c r="C25" s="103">
        <f t="shared" si="0"/>
        <v>2.1625001430494484</v>
      </c>
      <c r="D25" s="103">
        <f t="shared" si="1"/>
        <v>367.404478997225</v>
      </c>
      <c r="E25" s="144">
        <f t="shared" si="2"/>
        <v>58.466658019927593</v>
      </c>
      <c r="F25" s="64">
        <f>B25/Steuerung!$D$4</f>
        <v>1</v>
      </c>
      <c r="G25" s="103">
        <f>C25/Steuerung!$D$2</f>
        <v>0.72083338101648275</v>
      </c>
      <c r="H25" s="57">
        <f>60*E25/Steuerung!$D$1</f>
        <v>1.169333160398552</v>
      </c>
    </row>
    <row r="26" spans="1:8">
      <c r="A26" s="64">
        <v>11</v>
      </c>
      <c r="B26" s="64">
        <v>24</v>
      </c>
      <c r="C26" s="103">
        <f t="shared" si="0"/>
        <v>1.9185428218523444</v>
      </c>
      <c r="D26" s="103">
        <f t="shared" si="1"/>
        <v>382.66977834359949</v>
      </c>
      <c r="E26" s="144">
        <f t="shared" si="2"/>
        <v>60.895890888542247</v>
      </c>
      <c r="F26" s="64">
        <f>B26/Steuerung!$D$4</f>
        <v>1</v>
      </c>
      <c r="G26" s="103">
        <f>C26/Steuerung!$D$2</f>
        <v>0.63951427395078142</v>
      </c>
      <c r="H26" s="57">
        <f>60*E26/Steuerung!$D$1</f>
        <v>1.217917817770845</v>
      </c>
    </row>
    <row r="27" spans="1:8">
      <c r="A27" s="64">
        <v>12</v>
      </c>
      <c r="B27" s="64">
        <v>24</v>
      </c>
      <c r="C27" s="103">
        <f t="shared" si="0"/>
        <v>1.7021069668419397</v>
      </c>
      <c r="D27" s="103">
        <f t="shared" si="1"/>
        <v>396.2129591746143</v>
      </c>
      <c r="E27" s="144">
        <f t="shared" si="2"/>
        <v>63.051075616584072</v>
      </c>
      <c r="F27" s="64">
        <f>B27/Steuerung!$D$4</f>
        <v>1</v>
      </c>
      <c r="G27" s="103">
        <f>C27/Steuerung!$D$2</f>
        <v>0.56736898894731325</v>
      </c>
      <c r="H27" s="57">
        <f>60*E27/Steuerung!$D$1</f>
        <v>1.2610215123316815</v>
      </c>
    </row>
    <row r="28" spans="1:8">
      <c r="A28" s="64">
        <v>13</v>
      </c>
      <c r="B28" s="64">
        <v>24</v>
      </c>
      <c r="C28" s="103">
        <f t="shared" si="0"/>
        <v>1.5100878091293588</v>
      </c>
      <c r="D28" s="103">
        <f t="shared" si="1"/>
        <v>408.22829820333294</v>
      </c>
      <c r="E28" s="144">
        <f t="shared" si="2"/>
        <v>64.963128294610584</v>
      </c>
      <c r="F28" s="64">
        <f>B28/Steuerung!$D$4</f>
        <v>1</v>
      </c>
      <c r="G28" s="103">
        <f>C28/Steuerung!$D$2</f>
        <v>0.50336260304311964</v>
      </c>
      <c r="H28" s="57">
        <f>60*E28/Steuerung!$D$1</f>
        <v>1.2992625658922117</v>
      </c>
    </row>
    <row r="29" spans="1:8">
      <c r="A29" s="64">
        <v>14</v>
      </c>
      <c r="B29" s="64">
        <v>24</v>
      </c>
      <c r="C29" s="103">
        <f t="shared" si="0"/>
        <v>1.3397308369591243</v>
      </c>
      <c r="D29" s="103">
        <f t="shared" si="1"/>
        <v>418.88815527652775</v>
      </c>
      <c r="E29" s="144">
        <f t="shared" si="2"/>
        <v>66.659477287798822</v>
      </c>
      <c r="F29" s="64">
        <f>B29/Steuerung!$D$4</f>
        <v>1</v>
      </c>
      <c r="G29" s="103">
        <f>C29/Steuerung!$D$2</f>
        <v>0.44657694565304146</v>
      </c>
      <c r="H29" s="57">
        <f>60*E29/Steuerung!$D$1</f>
        <v>1.3331895457559764</v>
      </c>
    </row>
    <row r="30" spans="1:8">
      <c r="A30" s="64">
        <v>15</v>
      </c>
      <c r="B30" s="64">
        <v>24</v>
      </c>
      <c r="C30" s="103">
        <f t="shared" si="0"/>
        <v>1.1885922822819386</v>
      </c>
      <c r="D30" s="103">
        <f t="shared" si="1"/>
        <v>428.34544587393339</v>
      </c>
      <c r="E30" s="144">
        <f t="shared" si="2"/>
        <v>68.164456695406329</v>
      </c>
      <c r="F30" s="64">
        <f>B30/Steuerung!$D$4</f>
        <v>1</v>
      </c>
      <c r="G30" s="103">
        <f>C30/Steuerung!$D$2</f>
        <v>0.39619742742731284</v>
      </c>
      <c r="H30" s="57">
        <f>60*E30/Steuerung!$D$1</f>
        <v>1.3632891339081266</v>
      </c>
    </row>
    <row r="31" spans="1:8">
      <c r="A31" s="64">
        <v>16</v>
      </c>
      <c r="B31" s="64">
        <v>24</v>
      </c>
      <c r="C31" s="103">
        <f t="shared" si="0"/>
        <v>1.0545040649409871</v>
      </c>
      <c r="D31" s="103">
        <f t="shared" si="1"/>
        <v>436.73583467836517</v>
      </c>
      <c r="E31" s="144">
        <f t="shared" si="2"/>
        <v>69.499655423037112</v>
      </c>
      <c r="F31" s="64">
        <f>B31/Steuerung!$D$4</f>
        <v>1</v>
      </c>
      <c r="G31" s="103">
        <f>C31/Steuerung!$D$2</f>
        <v>0.35150135498032903</v>
      </c>
      <c r="H31" s="57">
        <f>60*E31/Steuerung!$D$1</f>
        <v>1.3899931084607422</v>
      </c>
    </row>
    <row r="32" spans="1:8">
      <c r="A32" s="64">
        <v>17</v>
      </c>
      <c r="B32" s="64">
        <v>24</v>
      </c>
      <c r="C32" s="103">
        <f t="shared" si="0"/>
        <v>0.9355426915966627</v>
      </c>
      <c r="D32" s="103">
        <f t="shared" si="1"/>
        <v>444.17968168343089</v>
      </c>
      <c r="E32" s="144">
        <f t="shared" si="2"/>
        <v>70.684226875148141</v>
      </c>
      <c r="F32" s="64">
        <f>B32/Steuerung!$D$4</f>
        <v>1</v>
      </c>
      <c r="G32" s="103">
        <f>C32/Steuerung!$D$2</f>
        <v>0.31184756386555423</v>
      </c>
      <c r="H32" s="57">
        <f>60*E32/Steuerung!$D$1</f>
        <v>1.4136845375029627</v>
      </c>
    </row>
    <row r="33" spans="1:8">
      <c r="A33" s="64">
        <v>18</v>
      </c>
      <c r="B33" s="64">
        <v>24</v>
      </c>
      <c r="C33" s="103">
        <f t="shared" si="0"/>
        <v>0.83000166324527969</v>
      </c>
      <c r="D33" s="103">
        <f t="shared" si="1"/>
        <v>450.78376875571985</v>
      </c>
      <c r="E33" s="144">
        <f t="shared" si="2"/>
        <v>71.73516371033098</v>
      </c>
      <c r="F33" s="64">
        <f>B33/Steuerung!$D$4</f>
        <v>1</v>
      </c>
      <c r="G33" s="103">
        <f>C33/Steuerung!$D$2</f>
        <v>0.2766672210817599</v>
      </c>
      <c r="H33" s="57">
        <f>60*E33/Steuerung!$D$1</f>
        <v>1.4347032742066197</v>
      </c>
    </row>
    <row r="34" spans="1:8">
      <c r="A34" s="64">
        <v>19</v>
      </c>
      <c r="B34" s="64">
        <v>24</v>
      </c>
      <c r="C34" s="103">
        <f t="shared" si="0"/>
        <v>0.7363669955180796</v>
      </c>
      <c r="D34" s="103">
        <f t="shared" si="1"/>
        <v>456.64283141897636</v>
      </c>
      <c r="E34" s="144">
        <f t="shared" si="2"/>
        <v>72.667541600728256</v>
      </c>
      <c r="F34" s="64">
        <f>B34/Steuerung!$D$4</f>
        <v>1</v>
      </c>
      <c r="G34" s="103">
        <f>C34/Steuerung!$D$2</f>
        <v>0.24545566517269321</v>
      </c>
      <c r="H34" s="57">
        <f>60*E34/Steuerung!$D$1</f>
        <v>1.4533508320145649</v>
      </c>
    </row>
    <row r="35" spans="1:8">
      <c r="A35" s="64">
        <v>20</v>
      </c>
      <c r="B35" s="64">
        <v>24</v>
      </c>
      <c r="C35" s="103">
        <f t="shared" si="0"/>
        <v>0.6532955005995964</v>
      </c>
      <c r="D35" s="103">
        <f t="shared" si="1"/>
        <v>461.84091783367717</v>
      </c>
      <c r="E35" s="144">
        <f t="shared" si="2"/>
        <v>73.494735492310184</v>
      </c>
      <c r="F35" s="64">
        <f>B35/Steuerung!$D$4</f>
        <v>1</v>
      </c>
      <c r="G35" s="103">
        <f>C35/Steuerung!$D$2</f>
        <v>0.21776516686653213</v>
      </c>
      <c r="H35" s="57">
        <f>60*E35/Steuerung!$D$1</f>
        <v>1.4698947098462036</v>
      </c>
    </row>
    <row r="36" spans="1:8">
      <c r="A36" s="64">
        <v>21</v>
      </c>
      <c r="B36" s="64">
        <v>24</v>
      </c>
      <c r="C36" s="103">
        <f t="shared" si="0"/>
        <v>0.57959551921987096</v>
      </c>
      <c r="D36" s="103">
        <f t="shared" si="1"/>
        <v>466.45259446655331</v>
      </c>
      <c r="E36" s="144">
        <f t="shared" si="2"/>
        <v>74.228611468261192</v>
      </c>
      <c r="F36" s="64">
        <f>B36/Steuerung!$D$4</f>
        <v>1</v>
      </c>
      <c r="G36" s="103">
        <f>C36/Steuerung!$D$2</f>
        <v>0.19319850640662364</v>
      </c>
      <c r="H36" s="57">
        <f>60*E36/Steuerung!$D$1</f>
        <v>1.4845722293652239</v>
      </c>
    </row>
    <row r="37" spans="1:8">
      <c r="A37" s="64">
        <v>22</v>
      </c>
      <c r="B37" s="64">
        <v>24</v>
      </c>
      <c r="C37" s="103">
        <f t="shared" si="0"/>
        <v>0.51420982632121792</v>
      </c>
      <c r="D37" s="103">
        <f t="shared" si="1"/>
        <v>470.54401574536632</v>
      </c>
      <c r="E37" s="144">
        <f t="shared" si="2"/>
        <v>74.879696967754029</v>
      </c>
      <c r="F37" s="64">
        <f>B37/Steuerung!$D$4</f>
        <v>1</v>
      </c>
      <c r="G37" s="103">
        <f>C37/Steuerung!$D$2</f>
        <v>0.17140327544040598</v>
      </c>
      <c r="H37" s="57">
        <f>60*E37/Steuerung!$D$1</f>
        <v>1.4975939393550808</v>
      </c>
    </row>
    <row r="38" spans="1:8">
      <c r="A38" s="64">
        <v>23</v>
      </c>
      <c r="B38" s="64">
        <v>24</v>
      </c>
      <c r="C38" s="103">
        <f t="shared" si="0"/>
        <v>0.45620046518163587</v>
      </c>
      <c r="D38" s="103">
        <f t="shared" si="1"/>
        <v>474.17387304311961</v>
      </c>
      <c r="E38" s="144">
        <f t="shared" si="2"/>
        <v>75.457331801896828</v>
      </c>
      <c r="F38" s="64">
        <f>B38/Steuerung!$D$4</f>
        <v>1</v>
      </c>
      <c r="G38" s="103">
        <f>C38/Steuerung!$D$2</f>
        <v>0.15206682172721195</v>
      </c>
      <c r="H38" s="57">
        <f>60*E38/Steuerung!$D$1</f>
        <v>1.5091466360379366</v>
      </c>
    </row>
    <row r="39" spans="1:8">
      <c r="A39" s="64">
        <v>24</v>
      </c>
      <c r="B39" s="64">
        <v>24</v>
      </c>
      <c r="C39" s="103">
        <f t="shared" si="0"/>
        <v>0.40473529244058676</v>
      </c>
      <c r="D39" s="103">
        <f t="shared" si="1"/>
        <v>477.39423660486841</v>
      </c>
      <c r="E39" s="103">
        <f t="shared" si="2"/>
        <v>75.969802133174483</v>
      </c>
      <c r="F39" s="64">
        <f>B39/Steuerung!$D$4</f>
        <v>1</v>
      </c>
      <c r="G39" s="103">
        <f>C39/Steuerung!$D$2</f>
        <v>0.13491176414686226</v>
      </c>
      <c r="H39" s="57">
        <f>60*E39/Steuerung!$D$1</f>
        <v>1.5193960426634898</v>
      </c>
    </row>
    <row r="40" spans="1:8">
      <c r="A40" s="64">
        <v>25</v>
      </c>
      <c r="B40" s="64">
        <v>24</v>
      </c>
      <c r="C40" s="103">
        <f t="shared" si="0"/>
        <v>0.35907604101575302</v>
      </c>
      <c r="D40" s="103">
        <f t="shared" si="1"/>
        <v>480.25130249455452</v>
      </c>
      <c r="E40" s="103">
        <f t="shared" si="2"/>
        <v>76.424459340317398</v>
      </c>
      <c r="F40" s="64">
        <f>B40/Steuerung!$D$4</f>
        <v>1</v>
      </c>
      <c r="G40" s="103">
        <f>C40/Steuerung!$D$2</f>
        <v>0.11969201367191767</v>
      </c>
      <c r="H40" s="57">
        <f>60*E40/Steuerung!$D$1</f>
        <v>1.5284891868063482</v>
      </c>
    </row>
    <row r="41" spans="1:8">
      <c r="A41" s="64">
        <v>26</v>
      </c>
      <c r="B41" s="64">
        <v>24</v>
      </c>
      <c r="C41" s="103">
        <f t="shared" si="0"/>
        <v>0.31856772967352293</v>
      </c>
      <c r="D41" s="103">
        <f t="shared" si="1"/>
        <v>482.78605527680725</v>
      </c>
      <c r="E41" s="103">
        <f t="shared" si="2"/>
        <v>76.827825473712167</v>
      </c>
      <c r="F41" s="64">
        <f>B41/Steuerung!$D$4</f>
        <v>1</v>
      </c>
      <c r="G41" s="103">
        <f>C41/Steuerung!$D$2</f>
        <v>0.10618924322450764</v>
      </c>
      <c r="H41" s="57">
        <f>60*E41/Steuerung!$D$1</f>
        <v>1.5365565094742433</v>
      </c>
    </row>
    <row r="42" spans="1:8">
      <c r="A42" s="64">
        <v>27</v>
      </c>
      <c r="B42" s="64">
        <v>24</v>
      </c>
      <c r="C42" s="103">
        <f t="shared" si="0"/>
        <v>0.28262926733363014</v>
      </c>
      <c r="D42" s="103">
        <f t="shared" si="1"/>
        <v>485.0348559398692</v>
      </c>
      <c r="E42" s="103">
        <f t="shared" si="2"/>
        <v>77.185686814110312</v>
      </c>
      <c r="F42" s="64">
        <f>B42/Steuerung!$D$4</f>
        <v>1</v>
      </c>
      <c r="G42" s="103">
        <f>C42/Steuerung!$D$2</f>
        <v>9.4209755777876714E-2</v>
      </c>
      <c r="H42" s="57">
        <f>60*E42/Steuerung!$D$1</f>
        <v>1.5437137362822062</v>
      </c>
    </row>
    <row r="43" spans="1:8">
      <c r="A43" s="64">
        <v>28</v>
      </c>
      <c r="B43" s="64">
        <v>24</v>
      </c>
      <c r="C43" s="103">
        <f t="shared" si="0"/>
        <v>0.25074511732687788</v>
      </c>
      <c r="D43" s="103">
        <f t="shared" si="1"/>
        <v>487.02996349339304</v>
      </c>
      <c r="E43" s="103">
        <f t="shared" si="2"/>
        <v>77.503176876733463</v>
      </c>
      <c r="F43" s="64">
        <f>B43/Steuerung!$D$4</f>
        <v>1</v>
      </c>
      <c r="G43" s="103">
        <f>C43/Steuerung!$D$2</f>
        <v>8.3581705775625958E-2</v>
      </c>
      <c r="H43" s="57">
        <f>60*E43/Steuerung!$D$1</f>
        <v>1.5500635375346692</v>
      </c>
    </row>
    <row r="44" spans="1:8">
      <c r="A44" s="64">
        <v>29</v>
      </c>
      <c r="B44" s="64">
        <v>24</v>
      </c>
      <c r="C44" s="103">
        <f t="shared" si="0"/>
        <v>0.22245790202983892</v>
      </c>
      <c r="D44" s="103">
        <f t="shared" si="1"/>
        <v>488.7999977234204</v>
      </c>
      <c r="E44" s="103">
        <f t="shared" si="2"/>
        <v>77.784850051467288</v>
      </c>
      <c r="F44" s="64">
        <f>B44/Steuerung!$D$4</f>
        <v>1</v>
      </c>
      <c r="G44" s="103">
        <f>C44/Steuerung!$D$2</f>
        <v>7.4152634009946303E-2</v>
      </c>
      <c r="H44" s="57">
        <f>60*E44/Steuerung!$D$1</f>
        <v>1.5556970010293456</v>
      </c>
    </row>
    <row r="45" spans="1:8">
      <c r="A45" s="64">
        <v>30</v>
      </c>
      <c r="B45" s="64">
        <v>24</v>
      </c>
      <c r="C45" s="103">
        <f t="shared" si="0"/>
        <v>0.19736184179013921</v>
      </c>
      <c r="D45" s="103">
        <f t="shared" si="1"/>
        <v>490.37034974275633</v>
      </c>
      <c r="E45" s="103">
        <f t="shared" si="2"/>
        <v>78.034746935511833</v>
      </c>
      <c r="F45" s="64">
        <f>B45/Steuerung!$D$4</f>
        <v>1</v>
      </c>
      <c r="G45" s="103">
        <f>C45/Steuerung!$D$2</f>
        <v>6.5787280596713071E-2</v>
      </c>
      <c r="H45" s="57">
        <f>60*E45/Steuerung!$D$1</f>
        <v>1.5606949387102367</v>
      </c>
    </row>
    <row r="46" spans="1:8">
      <c r="A46" s="64">
        <v>31</v>
      </c>
      <c r="B46" s="64">
        <v>24</v>
      </c>
      <c r="C46" s="103">
        <f t="shared" si="0"/>
        <v>0.17509693402381901</v>
      </c>
      <c r="D46" s="103">
        <f t="shared" si="1"/>
        <v>491.76354622607761</v>
      </c>
      <c r="E46" s="103">
        <f t="shared" si="2"/>
        <v>78.2564522956839</v>
      </c>
      <c r="F46" s="64">
        <f>B46/Steuerung!$D$4</f>
        <v>1</v>
      </c>
      <c r="G46" s="103">
        <f>C46/Steuerung!$D$2</f>
        <v>5.8365644674606337E-2</v>
      </c>
      <c r="H46" s="57">
        <f>60*E46/Steuerung!$D$1</f>
        <v>1.565129045913678</v>
      </c>
    </row>
    <row r="47" spans="1:8">
      <c r="A47" s="64">
        <v>32</v>
      </c>
      <c r="B47" s="64">
        <v>24</v>
      </c>
      <c r="C47" s="103">
        <f t="shared" si="0"/>
        <v>0.15534378898400419</v>
      </c>
      <c r="D47" s="103">
        <f t="shared" si="1"/>
        <v>492.99957255472179</v>
      </c>
      <c r="E47" s="103">
        <f t="shared" si="2"/>
        <v>78.453146491839874</v>
      </c>
      <c r="F47" s="64">
        <f>B47/Steuerung!$D$4</f>
        <v>1</v>
      </c>
      <c r="G47" s="103">
        <f>C47/Steuerung!$D$2</f>
        <v>5.1781262994668065E-2</v>
      </c>
      <c r="H47" s="57">
        <f>60*E47/Steuerung!$D$1</f>
        <v>1.5690629298367975</v>
      </c>
    </row>
    <row r="48" spans="1:8">
      <c r="A48" s="64">
        <v>33</v>
      </c>
      <c r="B48" s="64">
        <v>24</v>
      </c>
      <c r="C48" s="103">
        <f t="shared" si="0"/>
        <v>0.1378190481200777</v>
      </c>
      <c r="D48" s="103">
        <f t="shared" si="1"/>
        <v>494.09615950666387</v>
      </c>
      <c r="E48" s="103">
        <f t="shared" si="2"/>
        <v>78.627651099087188</v>
      </c>
      <c r="F48" s="64">
        <f>B48/Steuerung!$D$4</f>
        <v>1</v>
      </c>
      <c r="G48" s="103">
        <f>C48/Steuerung!$D$2</f>
        <v>4.5939682706692568E-2</v>
      </c>
      <c r="H48" s="57">
        <f>60*E48/Steuerung!$D$1</f>
        <v>1.5725530219817438</v>
      </c>
    </row>
    <row r="49" spans="1:8">
      <c r="A49" s="64">
        <v>34</v>
      </c>
      <c r="B49" s="64">
        <v>24</v>
      </c>
      <c r="C49" s="103">
        <f t="shared" si="0"/>
        <v>0.12227131930379302</v>
      </c>
      <c r="D49" s="103">
        <f t="shared" si="1"/>
        <v>495.06903760424336</v>
      </c>
      <c r="E49" s="103">
        <f t="shared" si="2"/>
        <v>78.782469383234144</v>
      </c>
      <c r="F49" s="64">
        <f>B49/Steuerung!$D$4</f>
        <v>1</v>
      </c>
      <c r="G49" s="103">
        <f>C49/Steuerung!$D$2</f>
        <v>4.0757106434597672E-2</v>
      </c>
      <c r="H49" s="57">
        <f>60*E49/Steuerung!$D$1</f>
        <v>1.5756493876646827</v>
      </c>
    </row>
    <row r="50" spans="1:8">
      <c r="A50" s="64">
        <v>35</v>
      </c>
      <c r="B50" s="64">
        <v>24</v>
      </c>
      <c r="C50" s="103">
        <f t="shared" si="0"/>
        <v>0.10847757061320309</v>
      </c>
      <c r="D50" s="103">
        <f t="shared" si="1"/>
        <v>495.93216276825677</v>
      </c>
      <c r="E50" s="103">
        <f t="shared" si="2"/>
        <v>78.919822210098147</v>
      </c>
      <c r="F50" s="64">
        <f>B50/Steuerung!$D$4</f>
        <v>1</v>
      </c>
      <c r="G50" s="103">
        <f>C50/Steuerung!$D$2</f>
        <v>3.6159190204401032E-2</v>
      </c>
      <c r="H50" s="57">
        <f>60*E50/Steuerung!$D$1</f>
        <v>1.5783964442019629</v>
      </c>
    </row>
    <row r="51" spans="1:8">
      <c r="A51" s="64">
        <v>36</v>
      </c>
      <c r="B51" s="64">
        <v>24</v>
      </c>
      <c r="C51" s="103">
        <f t="shared" si="0"/>
        <v>9.6239930943293278E-2</v>
      </c>
      <c r="D51" s="103">
        <f t="shared" si="1"/>
        <v>496.69791651541857</v>
      </c>
      <c r="E51" s="103">
        <f t="shared" si="2"/>
        <v>79.041679903790353</v>
      </c>
      <c r="F51" s="64">
        <f>B51/Steuerung!$D$4</f>
        <v>1</v>
      </c>
      <c r="G51" s="103">
        <f>C51/Steuerung!$D$2</f>
        <v>3.2079976981097762E-2</v>
      </c>
      <c r="H51" s="57">
        <f>60*E51/Steuerung!$D$1</f>
        <v>1.5808335980758073</v>
      </c>
    </row>
    <row r="52" spans="1:8">
      <c r="A52" s="64">
        <v>37</v>
      </c>
      <c r="B52" s="64">
        <v>24</v>
      </c>
      <c r="C52" s="103">
        <f t="shared" si="0"/>
        <v>8.5382851548139099E-2</v>
      </c>
      <c r="D52" s="103">
        <f t="shared" si="1"/>
        <v>497.37728357102122</v>
      </c>
      <c r="E52" s="103">
        <f t="shared" si="2"/>
        <v>79.149790510983649</v>
      </c>
      <c r="F52" s="64">
        <f>B52/Steuerung!$D$4</f>
        <v>1</v>
      </c>
      <c r="G52" s="103">
        <f>C52/Steuerung!$D$2</f>
        <v>2.8460950516046368E-2</v>
      </c>
      <c r="H52" s="57">
        <f>60*E52/Steuerung!$D$1</f>
        <v>1.5829958102196731</v>
      </c>
    </row>
    <row r="53" spans="1:8">
      <c r="A53" s="64">
        <v>38</v>
      </c>
      <c r="B53" s="64">
        <v>24</v>
      </c>
      <c r="C53" s="103">
        <f t="shared" si="0"/>
        <v>7.5750587796941798E-2</v>
      </c>
      <c r="D53" s="103">
        <f t="shared" si="1"/>
        <v>497.98000944464422</v>
      </c>
      <c r="E53" s="103">
        <f t="shared" si="2"/>
        <v>79.245704876614298</v>
      </c>
      <c r="F53" s="64">
        <f>B53/Steuerung!$D$4</f>
        <v>1</v>
      </c>
      <c r="G53" s="103">
        <f>C53/Steuerung!$D$2</f>
        <v>2.5250195932313934E-2</v>
      </c>
      <c r="H53" s="57">
        <f>60*E53/Steuerung!$D$1</f>
        <v>1.584914097532286</v>
      </c>
    </row>
    <row r="54" spans="1:8">
      <c r="A54" s="64">
        <v>39</v>
      </c>
      <c r="B54" s="64">
        <v>24</v>
      </c>
      <c r="C54" s="103">
        <f t="shared" si="0"/>
        <v>6.720496501978547E-2</v>
      </c>
      <c r="D54" s="103">
        <f t="shared" si="1"/>
        <v>498.51474022933382</v>
      </c>
      <c r="E54" s="103">
        <f t="shared" si="2"/>
        <v>79.330798890727849</v>
      </c>
      <c r="F54" s="64">
        <f>B54/Steuerung!$D$4</f>
        <v>1</v>
      </c>
      <c r="G54" s="103">
        <f>C54/Steuerung!$D$2</f>
        <v>2.2401655006595158E-2</v>
      </c>
      <c r="H54" s="57">
        <f>60*E54/Steuerung!$D$1</f>
        <v>1.5866159778145568</v>
      </c>
    </row>
    <row r="55" spans="1:8">
      <c r="A55" s="64">
        <v>40</v>
      </c>
      <c r="B55" s="64">
        <v>24</v>
      </c>
      <c r="C55" s="103">
        <f t="shared" si="0"/>
        <v>5.9623396394198142E-2</v>
      </c>
      <c r="D55" s="103">
        <f t="shared" si="1"/>
        <v>498.98914662966956</v>
      </c>
      <c r="E55" s="103">
        <f t="shared" si="2"/>
        <v>79.406293225599867</v>
      </c>
      <c r="F55" s="64">
        <f>B55/Steuerung!$D$4</f>
        <v>1</v>
      </c>
      <c r="G55" s="103">
        <f>C55/Steuerung!$D$2</f>
        <v>1.9874465464732715E-2</v>
      </c>
      <c r="H55" s="57">
        <f>60*E55/Steuerung!$D$1</f>
        <v>1.5881258645119973</v>
      </c>
    </row>
    <row r="56" spans="1:8">
      <c r="A56" s="64">
        <v>41</v>
      </c>
      <c r="B56" s="64">
        <v>24</v>
      </c>
      <c r="C56" s="103">
        <f t="shared" si="0"/>
        <v>5.2897124439140117E-2</v>
      </c>
      <c r="D56" s="103">
        <f t="shared" si="1"/>
        <v>499.41003399789952</v>
      </c>
      <c r="E56" s="103">
        <f t="shared" si="2"/>
        <v>79.473270846260263</v>
      </c>
      <c r="F56" s="64">
        <f>B56/Steuerung!$D$4</f>
        <v>1</v>
      </c>
      <c r="G56" s="103">
        <f>C56/Steuerung!$D$2</f>
        <v>1.7632374813046706E-2</v>
      </c>
      <c r="H56" s="57">
        <f>60*E56/Steuerung!$D$1</f>
        <v>1.5894654169252054</v>
      </c>
    </row>
    <row r="57" spans="1:8">
      <c r="A57" s="64">
        <v>42</v>
      </c>
      <c r="B57" s="64">
        <v>24</v>
      </c>
      <c r="C57" s="103">
        <f t="shared" si="0"/>
        <v>4.6929660890673686E-2</v>
      </c>
      <c r="D57" s="103">
        <f t="shared" si="1"/>
        <v>499.78343995660953</v>
      </c>
      <c r="E57" s="103">
        <f t="shared" si="2"/>
        <v>79.532692545609407</v>
      </c>
      <c r="F57" s="64">
        <f>B57/Steuerung!$D$4</f>
        <v>1</v>
      </c>
      <c r="G57" s="103">
        <f>C57/Steuerung!$D$2</f>
        <v>1.564322029689123E-2</v>
      </c>
      <c r="H57" s="57">
        <f>60*E57/Steuerung!$D$1</f>
        <v>1.5906538509121879</v>
      </c>
    </row>
    <row r="58" spans="1:8">
      <c r="A58" s="64">
        <v>43</v>
      </c>
      <c r="B58" s="64">
        <v>24</v>
      </c>
      <c r="C58" s="103">
        <f t="shared" si="0"/>
        <v>4.1635402579350063E-2</v>
      </c>
      <c r="D58" s="103">
        <f t="shared" si="1"/>
        <v>500.11472100832299</v>
      </c>
      <c r="E58" s="103">
        <f t="shared" si="2"/>
        <v>79.585410726976932</v>
      </c>
      <c r="F58" s="64">
        <f>B58/Steuerung!$D$4</f>
        <v>1</v>
      </c>
      <c r="G58" s="103">
        <f>C58/Steuerung!$D$2</f>
        <v>1.3878467526450021E-2</v>
      </c>
      <c r="H58" s="57">
        <f>60*E58/Steuerung!$D$1</f>
        <v>1.5917082145395385</v>
      </c>
    </row>
    <row r="59" spans="1:8">
      <c r="A59" s="64">
        <v>44</v>
      </c>
      <c r="B59" s="64">
        <v>24</v>
      </c>
      <c r="C59" s="103">
        <f t="shared" si="0"/>
        <v>3.6938403454116066E-2</v>
      </c>
      <c r="D59" s="103">
        <f t="shared" si="1"/>
        <v>500.40862937444422</v>
      </c>
      <c r="E59" s="103">
        <f t="shared" si="2"/>
        <v>79.632181631833902</v>
      </c>
      <c r="F59" s="64">
        <f>B59/Steuerung!$D$4</f>
        <v>1</v>
      </c>
      <c r="G59" s="103">
        <f>C59/Steuerung!$D$2</f>
        <v>1.2312801151372023E-2</v>
      </c>
      <c r="H59" s="57">
        <f>60*E59/Steuerung!$D$1</f>
        <v>1.592643632636678</v>
      </c>
    </row>
    <row r="60" spans="1:8">
      <c r="A60" s="64">
        <v>45</v>
      </c>
      <c r="B60" s="64">
        <v>24</v>
      </c>
      <c r="C60" s="103">
        <f t="shared" si="0"/>
        <v>3.2771285137418289E-2</v>
      </c>
      <c r="D60" s="103">
        <f t="shared" si="1"/>
        <v>500.6693811657986</v>
      </c>
      <c r="E60" s="103">
        <f t="shared" si="2"/>
        <v>79.673676188064704</v>
      </c>
      <c r="F60" s="64">
        <f>B60/Steuerung!$D$4</f>
        <v>1</v>
      </c>
      <c r="G60" s="103">
        <f>C60/Steuerung!$D$2</f>
        <v>1.0923761712472764E-2</v>
      </c>
      <c r="H60" s="57">
        <f>60*E60/Steuerung!$D$1</f>
        <v>1.593473523761294</v>
      </c>
    </row>
    <row r="61" spans="1:8">
      <c r="A61" s="64">
        <v>46</v>
      </c>
      <c r="B61" s="64">
        <v>24</v>
      </c>
      <c r="C61" s="103">
        <f t="shared" si="0"/>
        <v>2.9074270383450371E-2</v>
      </c>
      <c r="D61" s="103">
        <f t="shared" si="1"/>
        <v>500.90071686267521</v>
      </c>
      <c r="E61" s="103">
        <f t="shared" si="2"/>
        <v>79.710489634416803</v>
      </c>
      <c r="F61" s="64">
        <f>B61/Steuerung!$D$4</f>
        <v>1</v>
      </c>
      <c r="G61" s="103">
        <f>C61/Steuerung!$D$2</f>
        <v>9.6914234611501244E-3</v>
      </c>
      <c r="H61" s="57">
        <f>60*E61/Steuerung!$D$1</f>
        <v>1.5942097926883361</v>
      </c>
    </row>
    <row r="62" spans="1:8">
      <c r="A62" s="64">
        <v>47</v>
      </c>
      <c r="B62" s="64">
        <v>24</v>
      </c>
      <c r="C62" s="103">
        <f t="shared" si="0"/>
        <v>2.5794325574519782E-2</v>
      </c>
      <c r="D62" s="103">
        <f t="shared" si="1"/>
        <v>501.10595497195686</v>
      </c>
      <c r="E62" s="103">
        <f t="shared" si="2"/>
        <v>79.743150059191095</v>
      </c>
      <c r="F62" s="64">
        <f>B62/Steuerung!$D$4</f>
        <v>1</v>
      </c>
      <c r="G62" s="103">
        <f>C62/Steuerung!$D$2</f>
        <v>8.5981085248399269E-3</v>
      </c>
      <c r="H62" s="57">
        <f>60*E62/Steuerung!$D$1</f>
        <v>1.5948630011838218</v>
      </c>
    </row>
    <row r="63" spans="1:8">
      <c r="A63" s="64">
        <v>48</v>
      </c>
      <c r="B63" s="64">
        <v>24</v>
      </c>
      <c r="C63" s="103">
        <f t="shared" si="0"/>
        <v>2.2884399954643045E-2</v>
      </c>
      <c r="D63" s="103">
        <f t="shared" si="1"/>
        <v>501.28803963104855</v>
      </c>
      <c r="E63" s="103">
        <f t="shared" si="2"/>
        <v>79.772125975660174</v>
      </c>
      <c r="F63" s="64">
        <f>B63/Steuerung!$D$4</f>
        <v>1</v>
      </c>
      <c r="G63" s="103">
        <f>C63/Steuerung!$D$2</f>
        <v>7.6281333182143486E-3</v>
      </c>
      <c r="H63" s="57">
        <f>60*E63/Steuerung!$D$1</f>
        <v>1.5954425195132034</v>
      </c>
    </row>
    <row r="64" spans="1:8">
      <c r="A64" s="64">
        <v>49</v>
      </c>
      <c r="B64" s="64">
        <v>24</v>
      </c>
      <c r="C64" s="103">
        <f t="shared" si="0"/>
        <v>2.030275068720553E-2</v>
      </c>
      <c r="D64" s="103">
        <f t="shared" si="1"/>
        <v>501.44958284148146</v>
      </c>
      <c r="E64" s="103">
        <f t="shared" si="2"/>
        <v>79.797833042883752</v>
      </c>
      <c r="F64" s="64">
        <f>B64/Steuerung!$D$4</f>
        <v>1</v>
      </c>
      <c r="G64" s="103">
        <f>C64/Steuerung!$D$2</f>
        <v>6.7675835624018436E-3</v>
      </c>
      <c r="H64" s="57">
        <f>60*E64/Steuerung!$D$1</f>
        <v>1.5959566608576752</v>
      </c>
    </row>
    <row r="65" spans="1:8">
      <c r="A65" s="64">
        <v>50</v>
      </c>
      <c r="B65" s="64">
        <v>24</v>
      </c>
      <c r="C65" s="103">
        <f t="shared" si="0"/>
        <v>1.8012344054630494E-2</v>
      </c>
      <c r="D65" s="103">
        <f t="shared" si="1"/>
        <v>501.59290193803326</v>
      </c>
      <c r="E65" s="103">
        <f t="shared" si="2"/>
        <v>79.820640028331198</v>
      </c>
      <c r="F65" s="64">
        <f>B65/Steuerung!$D$4</f>
        <v>1</v>
      </c>
      <c r="G65" s="103">
        <f>C65/Steuerung!$D$2</f>
        <v>6.0041146848768311E-3</v>
      </c>
      <c r="H65" s="57">
        <f>60*E65/Steuerung!$D$1</f>
        <v>1.596412800566624</v>
      </c>
    </row>
    <row r="66" spans="1:8">
      <c r="A66" s="64">
        <v>51</v>
      </c>
      <c r="B66" s="64">
        <v>24</v>
      </c>
      <c r="C66" s="103">
        <f t="shared" si="0"/>
        <v>1.598032421029856E-2</v>
      </c>
      <c r="D66" s="103">
        <f t="shared" si="1"/>
        <v>501.72005283085866</v>
      </c>
      <c r="E66" s="103">
        <f t="shared" si="2"/>
        <v>79.840874097845116</v>
      </c>
      <c r="F66" s="64">
        <f>B66/Steuerung!$D$4</f>
        <v>1</v>
      </c>
      <c r="G66" s="103">
        <f>C66/Steuerung!$D$2</f>
        <v>5.3267747367661865E-3</v>
      </c>
      <c r="H66" s="57">
        <f>60*E66/Steuerung!$D$1</f>
        <v>1.5968174819569025</v>
      </c>
    </row>
    <row r="67" spans="1:8">
      <c r="A67" s="64">
        <v>52</v>
      </c>
      <c r="B67" s="64">
        <v>24</v>
      </c>
      <c r="C67" s="103">
        <f t="shared" si="0"/>
        <v>1.4177541861943217E-2</v>
      </c>
      <c r="D67" s="103">
        <f t="shared" si="1"/>
        <v>501.83285949748773</v>
      </c>
      <c r="E67" s="103">
        <f t="shared" si="2"/>
        <v>79.858825508830009</v>
      </c>
      <c r="F67" s="64">
        <f>B67/Steuerung!$D$4</f>
        <v>1</v>
      </c>
      <c r="G67" s="103">
        <f>C67/Steuerung!$D$2</f>
        <v>4.7258472873144058E-3</v>
      </c>
      <c r="H67" s="57">
        <f>60*E67/Steuerung!$D$1</f>
        <v>1.5971765101766002</v>
      </c>
    </row>
    <row r="68" spans="1:8">
      <c r="A68" s="64">
        <v>53</v>
      </c>
      <c r="B68" s="64">
        <v>24</v>
      </c>
      <c r="C68" s="103">
        <f t="shared" si="0"/>
        <v>1.2578136125525408E-2</v>
      </c>
      <c r="D68" s="103">
        <f t="shared" si="1"/>
        <v>501.93294014775449</v>
      </c>
      <c r="E68" s="103">
        <f t="shared" si="2"/>
        <v>79.874751773990212</v>
      </c>
      <c r="F68" s="64">
        <f>B68/Steuerung!$D$4</f>
        <v>1</v>
      </c>
      <c r="G68" s="103">
        <f>C68/Steuerung!$D$2</f>
        <v>4.1927120418418029E-3</v>
      </c>
      <c r="H68" s="57">
        <f>60*E68/Steuerung!$D$1</f>
        <v>1.5974950354798041</v>
      </c>
    </row>
    <row r="69" spans="1:8">
      <c r="A69" s="64">
        <v>54</v>
      </c>
      <c r="B69" s="64">
        <v>24</v>
      </c>
      <c r="C69" s="103">
        <f t="shared" si="0"/>
        <v>1.1159163551257343E-2</v>
      </c>
      <c r="D69" s="103">
        <f t="shared" si="1"/>
        <v>502.02173043699111</v>
      </c>
      <c r="E69" s="103">
        <f t="shared" si="2"/>
        <v>79.888881355345504</v>
      </c>
      <c r="F69" s="64">
        <f>B69/Steuerung!$D$4</f>
        <v>1</v>
      </c>
      <c r="G69" s="103">
        <f>C69/Steuerung!$D$2</f>
        <v>3.7197211837524478E-3</v>
      </c>
      <c r="H69" s="57">
        <f>60*E69/Steuerung!$D$1</f>
        <v>1.59777762710691</v>
      </c>
    </row>
    <row r="70" spans="1:8">
      <c r="A70" s="64">
        <v>55</v>
      </c>
      <c r="B70" s="64">
        <v>24</v>
      </c>
      <c r="C70" s="103">
        <f t="shared" si="0"/>
        <v>9.9002690001919764E-3</v>
      </c>
      <c r="D70" s="103">
        <f t="shared" si="1"/>
        <v>502.10050406048083</v>
      </c>
      <c r="E70" s="103">
        <f t="shared" si="2"/>
        <v>79.901416941515095</v>
      </c>
      <c r="F70" s="64">
        <f>B70/Steuerung!$D$4</f>
        <v>1</v>
      </c>
      <c r="G70" s="103">
        <f>C70/Steuerung!$D$2</f>
        <v>3.3000896667306589E-3</v>
      </c>
      <c r="H70" s="57">
        <f>60*E70/Steuerung!$D$1</f>
        <v>1.598028338830302</v>
      </c>
    </row>
    <row r="71" spans="1:8">
      <c r="A71" s="64">
        <v>56</v>
      </c>
      <c r="B71" s="64">
        <v>24</v>
      </c>
      <c r="C71" s="103">
        <f t="shared" si="0"/>
        <v>8.7833936500648219E-3</v>
      </c>
      <c r="D71" s="103">
        <f t="shared" si="1"/>
        <v>502.17039102459654</v>
      </c>
      <c r="E71" s="103">
        <f t="shared" si="2"/>
        <v>79.912538355282706</v>
      </c>
      <c r="F71" s="64">
        <f>B71/Steuerung!$D$4</f>
        <v>1</v>
      </c>
      <c r="G71" s="103">
        <f>C71/Steuerung!$D$2</f>
        <v>2.9277978833549406E-3</v>
      </c>
      <c r="H71" s="57">
        <f>60*E71/Steuerung!$D$1</f>
        <v>1.5982507671056541</v>
      </c>
    </row>
    <row r="72" spans="1:8">
      <c r="A72" s="64">
        <v>57</v>
      </c>
      <c r="B72" s="64">
        <v>24</v>
      </c>
      <c r="C72" s="103">
        <f t="shared" si="0"/>
        <v>7.7925159417906679E-3</v>
      </c>
      <c r="D72" s="103">
        <f t="shared" si="1"/>
        <v>502.23239385672412</v>
      </c>
      <c r="E72" s="103">
        <f t="shared" si="2"/>
        <v>79.922405133151514</v>
      </c>
      <c r="F72" s="64">
        <f>B72/Steuerung!$D$4</f>
        <v>1</v>
      </c>
      <c r="G72" s="103">
        <f>C72/Steuerung!$D$2</f>
        <v>2.5975053139302225E-3</v>
      </c>
      <c r="H72" s="57">
        <f>60*E72/Steuerung!$D$1</f>
        <v>1.5984481026630304</v>
      </c>
    </row>
    <row r="73" spans="1:8">
      <c r="A73" s="64">
        <v>58</v>
      </c>
      <c r="B73" s="64">
        <v>24</v>
      </c>
      <c r="C73" s="103">
        <f t="shared" si="0"/>
        <v>6.913421750441252E-3</v>
      </c>
      <c r="D73" s="103">
        <f t="shared" si="1"/>
        <v>502.28740198650166</v>
      </c>
      <c r="E73" s="103">
        <f t="shared" si="2"/>
        <v>79.931158813892694</v>
      </c>
      <c r="F73" s="64">
        <f>B73/Steuerung!$D$4</f>
        <v>1</v>
      </c>
      <c r="G73" s="103">
        <f>C73/Steuerung!$D$2</f>
        <v>2.3044739168137508E-3</v>
      </c>
      <c r="H73" s="57">
        <f>60*E73/Steuerung!$D$1</f>
        <v>1.598623176277854</v>
      </c>
    </row>
    <row r="74" spans="1:8">
      <c r="A74" s="64">
        <v>59</v>
      </c>
      <c r="B74" s="64">
        <v>24</v>
      </c>
      <c r="C74" s="103">
        <f t="shared" si="0"/>
        <v>6.1335004838631033E-3</v>
      </c>
      <c r="D74" s="103">
        <f t="shared" si="1"/>
        <v>502.33620450467373</v>
      </c>
      <c r="E74" s="103">
        <f t="shared" si="2"/>
        <v>79.938924968916893</v>
      </c>
      <c r="F74" s="64">
        <f>B74/Steuerung!$D$4</f>
        <v>1</v>
      </c>
      <c r="G74" s="103">
        <f>C74/Steuerung!$D$2</f>
        <v>2.044500161287701E-3</v>
      </c>
      <c r="H74" s="57">
        <f>60*E74/Steuerung!$D$1</f>
        <v>1.598778499378338</v>
      </c>
    </row>
    <row r="75" spans="1:8">
      <c r="A75" s="64">
        <v>60</v>
      </c>
      <c r="B75" s="64">
        <v>0</v>
      </c>
      <c r="C75" s="103">
        <f t="shared" si="0"/>
        <v>-6.8913956925472917</v>
      </c>
      <c r="D75" s="103">
        <f t="shared" si="1"/>
        <v>447.50332980267427</v>
      </c>
      <c r="E75" s="103">
        <f t="shared" si="2"/>
        <v>71.213133323149947</v>
      </c>
      <c r="F75" s="64">
        <f>B75/Steuerung!$D$4</f>
        <v>0</v>
      </c>
      <c r="G75" s="103">
        <f>C75/Steuerung!$D$2</f>
        <v>-2.2971318975157637</v>
      </c>
      <c r="H75" s="57">
        <f>60*E75/Steuerung!$D$1</f>
        <v>1.4242626664629989</v>
      </c>
    </row>
    <row r="76" spans="1:8">
      <c r="A76" s="64">
        <v>61</v>
      </c>
      <c r="B76" s="64">
        <v>0</v>
      </c>
      <c r="C76" s="103">
        <f t="shared" si="0"/>
        <v>-6.3373541990759996</v>
      </c>
      <c r="D76" s="103">
        <f t="shared" si="1"/>
        <v>397.07880562161125</v>
      </c>
      <c r="E76" s="103">
        <f t="shared" si="2"/>
        <v>63.188861492936226</v>
      </c>
      <c r="F76" s="64">
        <f>B76/Steuerung!$D$4</f>
        <v>0</v>
      </c>
      <c r="G76" s="103">
        <f>C76/Steuerung!$D$2</f>
        <v>-2.112451399692</v>
      </c>
      <c r="H76" s="57">
        <f>60*E76/Steuerung!$D$1</f>
        <v>1.2637772298587246</v>
      </c>
    </row>
    <row r="77" spans="1:8">
      <c r="A77" s="64">
        <v>62</v>
      </c>
      <c r="B77" s="64">
        <v>0</v>
      </c>
      <c r="C77" s="103">
        <f t="shared" si="0"/>
        <v>-5.6296565958917588</v>
      </c>
      <c r="D77" s="103">
        <f t="shared" si="1"/>
        <v>352.2852299063681</v>
      </c>
      <c r="E77" s="103">
        <f t="shared" si="2"/>
        <v>56.060666757856161</v>
      </c>
      <c r="F77" s="64">
        <f>B77/Steuerung!$D$4</f>
        <v>0</v>
      </c>
      <c r="G77" s="103">
        <f>C77/Steuerung!$D$2</f>
        <v>-1.8765521986305862</v>
      </c>
      <c r="H77" s="57">
        <f>60*E77/Steuerung!$D$1</f>
        <v>1.1212133351571232</v>
      </c>
    </row>
    <row r="78" spans="1:8">
      <c r="A78" s="64">
        <v>63</v>
      </c>
      <c r="B78" s="64">
        <v>0</v>
      </c>
      <c r="C78" s="103">
        <f t="shared" si="0"/>
        <v>-4.9947946281311468</v>
      </c>
      <c r="D78" s="103">
        <f t="shared" si="1"/>
        <v>312.54307022995857</v>
      </c>
      <c r="E78" s="103">
        <f t="shared" si="2"/>
        <v>49.736325625391245</v>
      </c>
      <c r="F78" s="64">
        <f>B78/Steuerung!$D$4</f>
        <v>0</v>
      </c>
      <c r="G78" s="103">
        <f>C78/Steuerung!$D$2</f>
        <v>-1.6649315427103824</v>
      </c>
      <c r="H78" s="57">
        <f>60*E78/Steuerung!$D$1</f>
        <v>0.99472651250782484</v>
      </c>
    </row>
    <row r="79" spans="1:8">
      <c r="A79" s="64">
        <v>64</v>
      </c>
      <c r="B79" s="64">
        <v>0</v>
      </c>
      <c r="C79" s="103">
        <f t="shared" si="0"/>
        <v>-4.4313263184973204</v>
      </c>
      <c r="D79" s="103">
        <f t="shared" si="1"/>
        <v>277.28426756845857</v>
      </c>
      <c r="E79" s="103">
        <f t="shared" si="2"/>
        <v>44.125440415095255</v>
      </c>
      <c r="F79" s="64">
        <f>B79/Steuerung!$D$4</f>
        <v>0</v>
      </c>
      <c r="G79" s="103">
        <f>C79/Steuerung!$D$2</f>
        <v>-1.4771087728324401</v>
      </c>
      <c r="H79" s="57">
        <f>60*E79/Steuerung!$D$1</f>
        <v>0.88250880830190515</v>
      </c>
    </row>
    <row r="80" spans="1:8">
      <c r="A80" s="64">
        <v>65</v>
      </c>
      <c r="B80" s="64">
        <v>0</v>
      </c>
      <c r="C80" s="103">
        <f t="shared" ref="C80:C114" si="3">(C79 +$N$8*B80 +$N$5*D79)/$O$10</f>
        <v>-3.9314170030152185</v>
      </c>
      <c r="D80" s="103">
        <f t="shared" ref="D80:D114" si="4">$N$6*C80+D79</f>
        <v>246.00310108997974</v>
      </c>
      <c r="E80" s="103">
        <f t="shared" ref="E80:E114" si="5">D80/$J$6</f>
        <v>39.147533591658139</v>
      </c>
      <c r="F80" s="64">
        <f>B80/Steuerung!$D$4</f>
        <v>0</v>
      </c>
      <c r="G80" s="103">
        <f>C80/Steuerung!$D$2</f>
        <v>-1.3104723343384062</v>
      </c>
      <c r="H80" s="57">
        <f>60*E80/Steuerung!$D$1</f>
        <v>0.7829506718331628</v>
      </c>
    </row>
    <row r="81" spans="1:8">
      <c r="A81" s="64">
        <v>66</v>
      </c>
      <c r="B81" s="64">
        <v>0</v>
      </c>
      <c r="C81" s="103">
        <f t="shared" si="3"/>
        <v>-3.4879035325433145</v>
      </c>
      <c r="D81" s="103">
        <f t="shared" si="4"/>
        <v>218.25084510220671</v>
      </c>
      <c r="E81" s="103">
        <f t="shared" si="5"/>
        <v>34.731197501942511</v>
      </c>
      <c r="F81" s="64">
        <f>B81/Steuerung!$D$4</f>
        <v>0</v>
      </c>
      <c r="G81" s="103">
        <f>C81/Steuerung!$D$2</f>
        <v>-1.1626345108477716</v>
      </c>
      <c r="H81" s="57">
        <f>60*E81/Steuerung!$D$1</f>
        <v>0.69462395003885025</v>
      </c>
    </row>
    <row r="82" spans="1:8">
      <c r="A82" s="64">
        <v>67</v>
      </c>
      <c r="B82" s="64">
        <v>0</v>
      </c>
      <c r="C82" s="103">
        <f t="shared" si="3"/>
        <v>-3.0944239739082939</v>
      </c>
      <c r="D82" s="103">
        <f t="shared" si="4"/>
        <v>193.62939400490967</v>
      </c>
      <c r="E82" s="103">
        <f t="shared" si="5"/>
        <v>30.813079886204594</v>
      </c>
      <c r="F82" s="64">
        <f>B82/Steuerung!$D$4</f>
        <v>0</v>
      </c>
      <c r="G82" s="103">
        <f>C82/Steuerung!$D$2</f>
        <v>-1.0314746579694314</v>
      </c>
      <c r="H82" s="57">
        <f>60*E82/Steuerung!$D$1</f>
        <v>0.61626159772409184</v>
      </c>
    </row>
    <row r="83" spans="1:8">
      <c r="A83" s="64">
        <v>68</v>
      </c>
      <c r="B83" s="64">
        <v>0</v>
      </c>
      <c r="C83" s="103">
        <f t="shared" si="3"/>
        <v>-2.7453338775533584</v>
      </c>
      <c r="D83" s="103">
        <f t="shared" si="4"/>
        <v>171.78555347695487</v>
      </c>
      <c r="E83" s="103">
        <f t="shared" si="5"/>
        <v>27.336975410081934</v>
      </c>
      <c r="F83" s="64">
        <f>B83/Steuerung!$D$4</f>
        <v>0</v>
      </c>
      <c r="G83" s="103">
        <f>C83/Steuerung!$D$2</f>
        <v>-0.91511129251778611</v>
      </c>
      <c r="H83" s="57">
        <f>60*E83/Steuerung!$D$1</f>
        <v>0.54673950820163864</v>
      </c>
    </row>
    <row r="84" spans="1:8">
      <c r="A84" s="64">
        <v>69</v>
      </c>
      <c r="B84" s="64">
        <v>0</v>
      </c>
      <c r="C84" s="103">
        <f t="shared" si="3"/>
        <v>-2.4356255518861283</v>
      </c>
      <c r="D84" s="103">
        <f t="shared" si="4"/>
        <v>152.40597397435997</v>
      </c>
      <c r="E84" s="103">
        <f t="shared" si="5"/>
        <v>24.253019410305534</v>
      </c>
      <c r="F84" s="64">
        <f>B84/Steuerung!$D$4</f>
        <v>0</v>
      </c>
      <c r="G84" s="103">
        <f>C84/Steuerung!$D$2</f>
        <v>-0.81187518396204272</v>
      </c>
      <c r="H84" s="57">
        <f>60*E84/Steuerung!$D$1</f>
        <v>0.48506038820611069</v>
      </c>
    </row>
    <row r="85" spans="1:8">
      <c r="A85" s="64">
        <v>70</v>
      </c>
      <c r="B85" s="64">
        <v>0</v>
      </c>
      <c r="C85" s="103">
        <f t="shared" si="3"/>
        <v>-2.1608562359223176</v>
      </c>
      <c r="D85" s="103">
        <f t="shared" si="4"/>
        <v>135.21265573818621</v>
      </c>
      <c r="E85" s="103">
        <f t="shared" si="5"/>
        <v>21.516972587235234</v>
      </c>
      <c r="F85" s="64">
        <f>B85/Steuerung!$D$4</f>
        <v>0</v>
      </c>
      <c r="G85" s="103">
        <f>C85/Steuerung!$D$2</f>
        <v>-0.72028541197410589</v>
      </c>
      <c r="H85" s="57">
        <f>60*E85/Steuerung!$D$1</f>
        <v>0.43033945174470473</v>
      </c>
    </row>
    <row r="86" spans="1:8">
      <c r="A86" s="64">
        <v>71</v>
      </c>
      <c r="B86" s="64">
        <v>0</v>
      </c>
      <c r="C86" s="103">
        <f t="shared" si="3"/>
        <v>-1.91708436820614</v>
      </c>
      <c r="D86" s="103">
        <f t="shared" si="4"/>
        <v>119.95896089249764</v>
      </c>
      <c r="E86" s="103">
        <f t="shared" si="5"/>
        <v>19.089586392822667</v>
      </c>
      <c r="F86" s="64">
        <f>B86/Steuerung!$D$4</f>
        <v>0</v>
      </c>
      <c r="G86" s="103">
        <f>C86/Steuerung!$D$2</f>
        <v>-0.63902812273538001</v>
      </c>
      <c r="H86" s="57">
        <f>60*E86/Steuerung!$D$1</f>
        <v>0.38179172785645338</v>
      </c>
    </row>
    <row r="87" spans="1:8">
      <c r="A87" s="64">
        <v>72</v>
      </c>
      <c r="B87" s="64">
        <v>0</v>
      </c>
      <c r="C87" s="103">
        <f t="shared" si="3"/>
        <v>-1.700813045182362</v>
      </c>
      <c r="D87" s="103">
        <f t="shared" si="4"/>
        <v>106.4260754279658</v>
      </c>
      <c r="E87" s="103">
        <f t="shared" si="5"/>
        <v>16.936040010815692</v>
      </c>
      <c r="F87" s="64">
        <f>B87/Steuerung!$D$4</f>
        <v>0</v>
      </c>
      <c r="G87" s="103">
        <f>C87/Steuerung!$D$2</f>
        <v>-0.56693768172745396</v>
      </c>
      <c r="H87" s="57">
        <f>60*E87/Steuerung!$D$1</f>
        <v>0.33872080021631384</v>
      </c>
    </row>
    <row r="88" spans="1:8">
      <c r="A88" s="64">
        <v>73</v>
      </c>
      <c r="B88" s="64">
        <v>0</v>
      </c>
      <c r="C88" s="103">
        <f t="shared" si="3"/>
        <v>-1.508939858170836</v>
      </c>
      <c r="D88" s="103">
        <f t="shared" si="4"/>
        <v>94.419870318395169</v>
      </c>
      <c r="E88" s="103">
        <f t="shared" si="5"/>
        <v>15.025440852704515</v>
      </c>
      <c r="F88" s="64">
        <f>B88/Steuerung!$D$4</f>
        <v>0</v>
      </c>
      <c r="G88" s="103">
        <f>C88/Steuerung!$D$2</f>
        <v>-0.50297995272361196</v>
      </c>
      <c r="H88" s="57">
        <f>60*E88/Steuerung!$D$1</f>
        <v>0.30050881705409027</v>
      </c>
    </row>
    <row r="89" spans="1:8">
      <c r="A89" s="64">
        <v>74</v>
      </c>
      <c r="B89" s="64">
        <v>0</v>
      </c>
      <c r="C89" s="103">
        <f t="shared" si="3"/>
        <v>-1.3387123893634603</v>
      </c>
      <c r="D89" s="103">
        <f t="shared" si="4"/>
        <v>83.768116742937977</v>
      </c>
      <c r="E89" s="103">
        <f t="shared" si="5"/>
        <v>13.330381404032142</v>
      </c>
      <c r="F89" s="64">
        <f>B89/Steuerung!$D$4</f>
        <v>0</v>
      </c>
      <c r="G89" s="103">
        <f>C89/Steuerung!$D$2</f>
        <v>-0.44623746312115342</v>
      </c>
      <c r="H89" s="57">
        <f>60*E89/Steuerung!$D$1</f>
        <v>0.26660762808064281</v>
      </c>
    </row>
    <row r="90" spans="1:8">
      <c r="A90" s="64">
        <v>75</v>
      </c>
      <c r="B90" s="64">
        <v>0</v>
      </c>
      <c r="C90" s="103">
        <f t="shared" si="3"/>
        <v>-1.1876887284346125</v>
      </c>
      <c r="D90" s="103">
        <f t="shared" si="4"/>
        <v>74.318015466405413</v>
      </c>
      <c r="E90" s="103">
        <f t="shared" si="5"/>
        <v>11.826546064036508</v>
      </c>
      <c r="F90" s="64">
        <f>B90/Steuerung!$D$4</f>
        <v>0</v>
      </c>
      <c r="G90" s="103">
        <f>C90/Steuerung!$D$2</f>
        <v>-0.39589624281153751</v>
      </c>
      <c r="H90" s="57">
        <f>60*E90/Steuerung!$D$1</f>
        <v>0.23653092128073017</v>
      </c>
    </row>
    <row r="91" spans="1:8">
      <c r="A91" s="64">
        <v>76</v>
      </c>
      <c r="B91" s="64">
        <v>0</v>
      </c>
      <c r="C91" s="103">
        <f t="shared" si="3"/>
        <v>-1.0537024433764675</v>
      </c>
      <c r="D91" s="103">
        <f t="shared" si="4"/>
        <v>65.934004936675407</v>
      </c>
      <c r="E91" s="103">
        <f t="shared" si="5"/>
        <v>10.492362338745291</v>
      </c>
      <c r="F91" s="64">
        <f>B91/Steuerung!$D$4</f>
        <v>0</v>
      </c>
      <c r="G91" s="103">
        <f>C91/Steuerung!$D$2</f>
        <v>-0.35123414779215584</v>
      </c>
      <c r="H91" s="57">
        <f>60*E91/Steuerung!$D$1</f>
        <v>0.20984724677490582</v>
      </c>
    </row>
    <row r="92" spans="1:8">
      <c r="A92" s="64">
        <v>77</v>
      </c>
      <c r="B92" s="64">
        <v>0</v>
      </c>
      <c r="C92" s="103">
        <f t="shared" si="3"/>
        <v>-0.93483150306638929</v>
      </c>
      <c r="D92" s="103">
        <f t="shared" si="4"/>
        <v>58.495816656389053</v>
      </c>
      <c r="E92" s="103">
        <f t="shared" si="5"/>
        <v>9.3086913838938656</v>
      </c>
      <c r="F92" s="64">
        <f>B92/Steuerung!$D$4</f>
        <v>0</v>
      </c>
      <c r="G92" s="103">
        <f>C92/Steuerung!$D$2</f>
        <v>-0.31161050102212978</v>
      </c>
      <c r="H92" s="57">
        <f>60*E92/Steuerung!$D$1</f>
        <v>0.18617382767787732</v>
      </c>
    </row>
    <row r="93" spans="1:8">
      <c r="A93" s="64">
        <v>78</v>
      </c>
      <c r="B93" s="64">
        <v>0</v>
      </c>
      <c r="C93" s="103">
        <f t="shared" si="3"/>
        <v>-0.82937070576112693</v>
      </c>
      <c r="D93" s="103">
        <f t="shared" si="4"/>
        <v>51.896749933273782</v>
      </c>
      <c r="E93" s="103">
        <f t="shared" si="5"/>
        <v>8.2585534585095139</v>
      </c>
      <c r="F93" s="64">
        <f>B93/Steuerung!$D$4</f>
        <v>0</v>
      </c>
      <c r="G93" s="103">
        <f>C93/Steuerung!$D$2</f>
        <v>-0.27645690192037564</v>
      </c>
      <c r="H93" s="57">
        <f>60*E93/Steuerung!$D$1</f>
        <v>0.16517106917019028</v>
      </c>
    </row>
    <row r="94" spans="1:8">
      <c r="A94" s="64">
        <v>79</v>
      </c>
      <c r="B94" s="64">
        <v>0</v>
      </c>
      <c r="C94" s="103">
        <f t="shared" si="3"/>
        <v>-0.73580721800499704</v>
      </c>
      <c r="D94" s="103">
        <f t="shared" si="4"/>
        <v>46.042141260414162</v>
      </c>
      <c r="E94" s="103">
        <f t="shared" si="5"/>
        <v>7.3268843507979255</v>
      </c>
      <c r="F94" s="64">
        <f>B94/Steuerung!$D$4</f>
        <v>0</v>
      </c>
      <c r="G94" s="103">
        <f>C94/Steuerung!$D$2</f>
        <v>-0.24526907266833234</v>
      </c>
      <c r="H94" s="57">
        <f>60*E94/Steuerung!$D$1</f>
        <v>0.14653768701595851</v>
      </c>
    </row>
    <row r="95" spans="1:8">
      <c r="A95" s="64">
        <v>80</v>
      </c>
      <c r="B95" s="64">
        <v>0</v>
      </c>
      <c r="C95" s="103">
        <f t="shared" si="3"/>
        <v>-0.65279887305808615</v>
      </c>
      <c r="D95" s="103">
        <f t="shared" si="4"/>
        <v>40.848006369754657</v>
      </c>
      <c r="E95" s="103">
        <f t="shared" si="5"/>
        <v>6.5003192822652229</v>
      </c>
      <c r="F95" s="64">
        <f>B95/Steuerung!$D$4</f>
        <v>0</v>
      </c>
      <c r="G95" s="103">
        <f>C95/Steuerung!$D$2</f>
        <v>-0.21759962435269539</v>
      </c>
      <c r="H95" s="57">
        <f>60*E95/Steuerung!$D$1</f>
        <v>0.13000638564530445</v>
      </c>
    </row>
    <row r="96" spans="1:8">
      <c r="A96" s="64">
        <v>81</v>
      </c>
      <c r="B96" s="64">
        <v>0</v>
      </c>
      <c r="C96" s="103">
        <f t="shared" si="3"/>
        <v>-0.57915491753576842</v>
      </c>
      <c r="D96" s="103">
        <f t="shared" si="4"/>
        <v>36.239835479113594</v>
      </c>
      <c r="E96" s="103">
        <f t="shared" si="5"/>
        <v>5.7670011901835769</v>
      </c>
      <c r="F96" s="64">
        <f>B96/Steuerung!$D$4</f>
        <v>0</v>
      </c>
      <c r="G96" s="103">
        <f>C96/Steuerung!$D$2</f>
        <v>-0.19305163917858947</v>
      </c>
      <c r="H96" s="57">
        <f>60*E96/Steuerung!$D$1</f>
        <v>0.11534002380367153</v>
      </c>
    </row>
    <row r="97" spans="1:8">
      <c r="A97" s="64">
        <v>82</v>
      </c>
      <c r="B97" s="64">
        <v>0</v>
      </c>
      <c r="C97" s="103">
        <f t="shared" si="3"/>
        <v>-0.51381893007039081</v>
      </c>
      <c r="D97" s="103">
        <f t="shared" si="4"/>
        <v>32.151524450545878</v>
      </c>
      <c r="E97" s="103">
        <f t="shared" si="5"/>
        <v>5.1164106382154486</v>
      </c>
      <c r="F97" s="64">
        <f>B97/Steuerung!$D$4</f>
        <v>0</v>
      </c>
      <c r="G97" s="103">
        <f>C97/Steuerung!$D$2</f>
        <v>-0.17127297669013028</v>
      </c>
      <c r="H97" s="57">
        <f>60*E97/Steuerung!$D$1</f>
        <v>0.10232821276430897</v>
      </c>
    </row>
    <row r="98" spans="1:8">
      <c r="A98" s="64">
        <v>83</v>
      </c>
      <c r="B98" s="64">
        <v>0</v>
      </c>
      <c r="C98" s="103">
        <f t="shared" si="3"/>
        <v>-0.45585366696359969</v>
      </c>
      <c r="D98" s="103">
        <f t="shared" si="4"/>
        <v>28.524426527538242</v>
      </c>
      <c r="E98" s="103">
        <f t="shared" si="5"/>
        <v>4.539214915267066</v>
      </c>
      <c r="F98" s="64">
        <f>B98/Steuerung!$D$4</f>
        <v>0</v>
      </c>
      <c r="G98" s="103">
        <f>C98/Steuerung!$D$2</f>
        <v>-0.1519512223211999</v>
      </c>
      <c r="H98" s="57">
        <f>60*E98/Steuerung!$D$1</f>
        <v>9.0784298305341321E-2</v>
      </c>
    </row>
    <row r="99" spans="1:8">
      <c r="A99" s="64">
        <v>84</v>
      </c>
      <c r="B99" s="64">
        <v>0</v>
      </c>
      <c r="C99" s="103">
        <f t="shared" si="3"/>
        <v>-0.40442761744043271</v>
      </c>
      <c r="D99" s="103">
        <f t="shared" si="4"/>
        <v>25.306511048222259</v>
      </c>
      <c r="E99" s="103">
        <f t="shared" si="5"/>
        <v>4.0271341578966036</v>
      </c>
      <c r="F99" s="64">
        <f>B99/Steuerung!$D$4</f>
        <v>0</v>
      </c>
      <c r="G99" s="103">
        <f>C99/Steuerung!$D$2</f>
        <v>-0.13480920581347758</v>
      </c>
      <c r="H99" s="57">
        <f>60*E99/Steuerung!$D$1</f>
        <v>8.0542683157932074E-2</v>
      </c>
    </row>
    <row r="100" spans="1:8">
      <c r="A100" s="64">
        <v>85</v>
      </c>
      <c r="B100" s="64">
        <v>0</v>
      </c>
      <c r="C100" s="103">
        <f t="shared" si="3"/>
        <v>-0.35880307564051145</v>
      </c>
      <c r="D100" s="103">
        <f t="shared" si="4"/>
        <v>22.4516170663595</v>
      </c>
      <c r="E100" s="103">
        <f t="shared" si="5"/>
        <v>3.57282257580514</v>
      </c>
      <c r="F100" s="64">
        <f>B100/Steuerung!$D$4</f>
        <v>0</v>
      </c>
      <c r="G100" s="103">
        <f>C100/Steuerung!$D$2</f>
        <v>-0.11960102521350381</v>
      </c>
      <c r="H100" s="57">
        <f>60*E100/Steuerung!$D$1</f>
        <v>7.1456451516102804E-2</v>
      </c>
    </row>
    <row r="101" spans="1:8">
      <c r="A101" s="64">
        <v>86</v>
      </c>
      <c r="B101" s="64">
        <v>0</v>
      </c>
      <c r="C101" s="103">
        <f t="shared" si="3"/>
        <v>-0.31832555823923764</v>
      </c>
      <c r="D101" s="103">
        <f t="shared" si="4"/>
        <v>19.918791173303823</v>
      </c>
      <c r="E101" s="103">
        <f t="shared" si="5"/>
        <v>3.1697630765919516</v>
      </c>
      <c r="F101" s="64">
        <f>B101/Steuerung!$D$4</f>
        <v>0</v>
      </c>
      <c r="G101" s="103">
        <f>C101/Steuerung!$D$2</f>
        <v>-0.10610851941307921</v>
      </c>
      <c r="H101" s="57">
        <f>60*E101/Steuerung!$D$1</f>
        <v>6.3395261531839039E-2</v>
      </c>
    </row>
    <row r="102" spans="1:8">
      <c r="A102" s="64">
        <v>87</v>
      </c>
      <c r="B102" s="64">
        <v>0</v>
      </c>
      <c r="C102" s="103">
        <f t="shared" si="3"/>
        <v>-0.28241441589493799</v>
      </c>
      <c r="D102" s="103">
        <f t="shared" si="4"/>
        <v>17.671700022007371</v>
      </c>
      <c r="E102" s="103">
        <f t="shared" si="5"/>
        <v>2.8121737781679457</v>
      </c>
      <c r="F102" s="64">
        <f>B102/Steuerung!$D$4</f>
        <v>0</v>
      </c>
      <c r="G102" s="103">
        <f>C102/Steuerung!$D$2</f>
        <v>-9.4138138631645996E-2</v>
      </c>
      <c r="H102" s="57">
        <f>60*E102/Steuerung!$D$1</f>
        <v>5.6243475563358916E-2</v>
      </c>
    </row>
    <row r="103" spans="1:8">
      <c r="A103" s="64">
        <v>88</v>
      </c>
      <c r="B103" s="64">
        <v>0</v>
      </c>
      <c r="C103" s="103">
        <f t="shared" si="3"/>
        <v>-0.25055450384331662</v>
      </c>
      <c r="D103" s="103">
        <f t="shared" si="4"/>
        <v>15.678109125736551</v>
      </c>
      <c r="E103" s="103">
        <f t="shared" si="5"/>
        <v>2.4949250677492922</v>
      </c>
      <c r="F103" s="64">
        <f>B103/Steuerung!$D$4</f>
        <v>0</v>
      </c>
      <c r="G103" s="103">
        <f>C103/Steuerung!$D$2</f>
        <v>-8.3518167947772212E-2</v>
      </c>
      <c r="H103" s="57">
        <f>60*E103/Steuerung!$D$1</f>
        <v>4.9898501354985844E-2</v>
      </c>
    </row>
    <row r="104" spans="1:8">
      <c r="A104" s="64">
        <v>89</v>
      </c>
      <c r="B104" s="64">
        <v>0</v>
      </c>
      <c r="C104" s="103">
        <f t="shared" si="3"/>
        <v>-0.22228879215402617</v>
      </c>
      <c r="D104" s="103">
        <f t="shared" si="4"/>
        <v>13.909420454873835</v>
      </c>
      <c r="E104" s="103">
        <f t="shared" si="5"/>
        <v>2.2134660176438312</v>
      </c>
      <c r="F104" s="64">
        <f>B104/Steuerung!$D$4</f>
        <v>0</v>
      </c>
      <c r="G104" s="103">
        <f>C104/Steuerung!$D$2</f>
        <v>-7.4096264051342051E-2</v>
      </c>
      <c r="H104" s="57">
        <f>60*E104/Steuerung!$D$1</f>
        <v>4.4269320352876625E-2</v>
      </c>
    </row>
    <row r="105" spans="1:8">
      <c r="A105" s="64">
        <v>90</v>
      </c>
      <c r="B105" s="64">
        <v>0</v>
      </c>
      <c r="C105" s="103">
        <f t="shared" si="3"/>
        <v>-0.19721180964360416</v>
      </c>
      <c r="D105" s="103">
        <f t="shared" si="4"/>
        <v>12.34026219863892</v>
      </c>
      <c r="E105" s="103">
        <f t="shared" si="5"/>
        <v>1.9637591022659007</v>
      </c>
      <c r="F105" s="64">
        <f>B105/Steuerung!$D$4</f>
        <v>0</v>
      </c>
      <c r="G105" s="103">
        <f>C105/Steuerung!$D$2</f>
        <v>-6.5737269881201391E-2</v>
      </c>
      <c r="H105" s="57">
        <f>60*E105/Steuerung!$D$1</f>
        <v>3.9275182045318012E-2</v>
      </c>
    </row>
    <row r="106" spans="1:8">
      <c r="A106" s="64">
        <v>91</v>
      </c>
      <c r="B106" s="64">
        <v>0</v>
      </c>
      <c r="C106" s="103">
        <f t="shared" si="3"/>
        <v>-0.17496382739781211</v>
      </c>
      <c r="D106" s="103">
        <f t="shared" si="4"/>
        <v>10.948124806867659</v>
      </c>
      <c r="E106" s="103">
        <f t="shared" si="5"/>
        <v>1.7422222798961902</v>
      </c>
      <c r="F106" s="64">
        <f>B106/Steuerung!$D$4</f>
        <v>0</v>
      </c>
      <c r="G106" s="103">
        <f>C106/Steuerung!$D$2</f>
        <v>-5.8321275799270704E-2</v>
      </c>
      <c r="H106" s="57">
        <f>60*E106/Steuerung!$D$1</f>
        <v>3.4844445597923802E-2</v>
      </c>
    </row>
    <row r="107" spans="1:8">
      <c r="A107" s="64">
        <v>92</v>
      </c>
      <c r="B107" s="64">
        <v>0</v>
      </c>
      <c r="C107" s="103">
        <f t="shared" si="3"/>
        <v>-0.15522569846609682</v>
      </c>
      <c r="D107" s="103">
        <f t="shared" si="4"/>
        <v>9.7130380908738907</v>
      </c>
      <c r="E107" s="103">
        <f t="shared" si="5"/>
        <v>1.5456776083503965</v>
      </c>
      <c r="F107" s="64">
        <f>B107/Steuerung!$D$4</f>
        <v>0</v>
      </c>
      <c r="G107" s="103">
        <f>C107/Steuerung!$D$2</f>
        <v>-5.1741899488698943E-2</v>
      </c>
      <c r="H107" s="57">
        <f>60*E107/Steuerung!$D$1</f>
        <v>3.0913552167007932E-2</v>
      </c>
    </row>
    <row r="108" spans="1:8">
      <c r="A108" s="64">
        <v>93</v>
      </c>
      <c r="B108" s="64">
        <v>0</v>
      </c>
      <c r="C108" s="103">
        <f t="shared" si="3"/>
        <v>-0.13771427970367389</v>
      </c>
      <c r="D108" s="103">
        <f t="shared" si="4"/>
        <v>8.6172847514111766</v>
      </c>
      <c r="E108" s="103">
        <f t="shared" si="5"/>
        <v>1.3713056574492644</v>
      </c>
      <c r="F108" s="64">
        <f>B108/Steuerung!$D$4</f>
        <v>0</v>
      </c>
      <c r="G108" s="103">
        <f>C108/Steuerung!$D$2</f>
        <v>-4.5904759901224633E-2</v>
      </c>
      <c r="H108" s="57">
        <f>60*E108/Steuerung!$D$1</f>
        <v>2.7426113148985288E-2</v>
      </c>
    </row>
    <row r="109" spans="1:8">
      <c r="A109" s="64">
        <v>94</v>
      </c>
      <c r="B109" s="64">
        <v>0</v>
      </c>
      <c r="C109" s="103">
        <f t="shared" si="3"/>
        <v>-0.12217837008763055</v>
      </c>
      <c r="D109" s="103">
        <f t="shared" si="4"/>
        <v>7.6451462242976298</v>
      </c>
      <c r="E109" s="103">
        <f t="shared" si="5"/>
        <v>1.2166050643376241</v>
      </c>
      <c r="F109" s="64">
        <f>B109/Steuerung!$D$4</f>
        <v>0</v>
      </c>
      <c r="G109" s="103">
        <f>C109/Steuerung!$D$2</f>
        <v>-4.0726123362543519E-2</v>
      </c>
      <c r="H109" s="57">
        <f>60*E109/Steuerung!$D$1</f>
        <v>2.4332101286752481E-2</v>
      </c>
    </row>
    <row r="110" spans="1:8">
      <c r="A110" s="64">
        <v>95</v>
      </c>
      <c r="B110" s="64">
        <v>0</v>
      </c>
      <c r="C110" s="103">
        <f t="shared" si="3"/>
        <v>-0.10839510724225779</v>
      </c>
      <c r="D110" s="103">
        <f t="shared" si="4"/>
        <v>6.7826771978633698</v>
      </c>
      <c r="E110" s="103">
        <f t="shared" si="5"/>
        <v>1.07935665147412</v>
      </c>
      <c r="F110" s="64">
        <f>B110/Steuerung!$D$4</f>
        <v>0</v>
      </c>
      <c r="G110" s="103">
        <f>C110/Steuerung!$D$2</f>
        <v>-3.6131702414085927E-2</v>
      </c>
      <c r="H110" s="57">
        <f>60*E110/Steuerung!$D$1</f>
        <v>2.1587133029482397E-2</v>
      </c>
    </row>
    <row r="111" spans="1:8">
      <c r="A111" s="64">
        <v>96</v>
      </c>
      <c r="B111" s="64">
        <v>0</v>
      </c>
      <c r="C111" s="103">
        <f t="shared" si="3"/>
        <v>-9.6166770481824398E-2</v>
      </c>
      <c r="D111" s="103">
        <f t="shared" si="4"/>
        <v>6.0175055676769889</v>
      </c>
      <c r="E111" s="103">
        <f t="shared" si="5"/>
        <v>0.95759159256476589</v>
      </c>
      <c r="F111" s="64">
        <f>B111/Steuerung!$D$4</f>
        <v>0</v>
      </c>
      <c r="G111" s="103">
        <f>C111/Steuerung!$D$2</f>
        <v>-3.2055590160608133E-2</v>
      </c>
      <c r="H111" s="57">
        <f>60*E111/Steuerung!$D$1</f>
        <v>1.9151831851295317E-2</v>
      </c>
    </row>
    <row r="112" spans="1:8">
      <c r="A112" s="64">
        <v>97</v>
      </c>
      <c r="B112" s="64">
        <v>0</v>
      </c>
      <c r="C112" s="103">
        <f t="shared" si="3"/>
        <v>-8.5317944510493016E-2</v>
      </c>
      <c r="D112" s="103">
        <f t="shared" si="4"/>
        <v>5.3386549589047654</v>
      </c>
      <c r="E112" s="103">
        <f t="shared" si="5"/>
        <v>0.84956316978115298</v>
      </c>
      <c r="F112" s="64">
        <f>B112/Steuerung!$D$4</f>
        <v>0</v>
      </c>
      <c r="G112" s="103">
        <f>C112/Steuerung!$D$2</f>
        <v>-2.8439314836831004E-2</v>
      </c>
      <c r="H112" s="57">
        <f>60*E112/Steuerung!$D$1</f>
        <v>1.6991263395623062E-2</v>
      </c>
    </row>
    <row r="113" spans="1:8">
      <c r="A113" s="64">
        <v>98</v>
      </c>
      <c r="B113" s="64">
        <v>0</v>
      </c>
      <c r="C113" s="103">
        <f t="shared" si="3"/>
        <v>-7.5693003092698566E-2</v>
      </c>
      <c r="D113" s="103">
        <f t="shared" si="4"/>
        <v>4.736387270388704</v>
      </c>
      <c r="E113" s="103">
        <f t="shared" si="5"/>
        <v>0.75372171712105418</v>
      </c>
      <c r="F113" s="64">
        <f>B113/Steuerung!$D$4</f>
        <v>0</v>
      </c>
      <c r="G113" s="103">
        <f>C113/Steuerung!$D$2</f>
        <v>-2.5231001030899522E-2</v>
      </c>
      <c r="H113" s="57">
        <f>60*E113/Steuerung!$D$1</f>
        <v>1.5074434342421082E-2</v>
      </c>
    </row>
    <row r="114" spans="1:8">
      <c r="A114" s="64">
        <v>99</v>
      </c>
      <c r="B114" s="64">
        <v>0</v>
      </c>
      <c r="C114" s="103">
        <f t="shared" si="3"/>
        <v>-6.7153876597280518E-2</v>
      </c>
      <c r="D114" s="103">
        <f t="shared" si="4"/>
        <v>4.2020629817407045</v>
      </c>
      <c r="E114" s="103">
        <f t="shared" si="5"/>
        <v>0.66869239047433238</v>
      </c>
      <c r="F114" s="64">
        <f>B114/Steuerung!$D$4</f>
        <v>0</v>
      </c>
      <c r="G114" s="103">
        <f>C114/Steuerung!$D$2</f>
        <v>-2.238462553242684E-2</v>
      </c>
      <c r="H114" s="57">
        <f>60*E114/Steuerung!$D$1</f>
        <v>1.3373847809486647E-2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4"/>
  <sheetViews>
    <sheetView workbookViewId="0">
      <selection activeCell="M12" sqref="M12"/>
    </sheetView>
  </sheetViews>
  <sheetFormatPr baseColWidth="10" defaultRowHeight="15" x14ac:dyDescent="0"/>
  <cols>
    <col min="3" max="3" width="13.1640625" customWidth="1"/>
    <col min="6" max="6" width="11.5" customWidth="1"/>
    <col min="10" max="10" width="10.83203125" style="64"/>
    <col min="14" max="14" width="12" customWidth="1"/>
  </cols>
  <sheetData>
    <row r="1" spans="1:19">
      <c r="A1" t="s">
        <v>134</v>
      </c>
      <c r="F1" t="s">
        <v>135</v>
      </c>
      <c r="G1" t="s">
        <v>136</v>
      </c>
      <c r="I1" t="s">
        <v>88</v>
      </c>
      <c r="J1" s="65" t="s">
        <v>90</v>
      </c>
      <c r="K1" s="22">
        <f>Steuerung!I4</f>
        <v>3</v>
      </c>
      <c r="L1" s="4" t="s">
        <v>93</v>
      </c>
      <c r="N1" t="s">
        <v>129</v>
      </c>
      <c r="S1" t="s">
        <v>118</v>
      </c>
    </row>
    <row r="2" spans="1:19">
      <c r="A2" t="s">
        <v>85</v>
      </c>
      <c r="F2" t="s">
        <v>86</v>
      </c>
      <c r="G2" t="s">
        <v>87</v>
      </c>
      <c r="I2" t="s">
        <v>89</v>
      </c>
      <c r="J2" s="68" t="s">
        <v>82</v>
      </c>
      <c r="K2" s="63">
        <f>Steuerung!O11*0.001</f>
        <v>1E-3</v>
      </c>
      <c r="L2" s="7" t="s">
        <v>94</v>
      </c>
      <c r="N2" t="s">
        <v>128</v>
      </c>
    </row>
    <row r="3" spans="1:19">
      <c r="J3" s="68" t="s">
        <v>91</v>
      </c>
      <c r="K3" s="14">
        <f>Steuerung!I2/Steuerung!D2</f>
        <v>4.7740292807129214E-2</v>
      </c>
      <c r="L3" s="7" t="s">
        <v>95</v>
      </c>
    </row>
    <row r="4" spans="1:19">
      <c r="A4" t="s">
        <v>108</v>
      </c>
      <c r="F4" s="91" t="s">
        <v>98</v>
      </c>
      <c r="G4" s="92">
        <f>-K1/K2</f>
        <v>-3000</v>
      </c>
      <c r="H4" s="93" t="s">
        <v>35</v>
      </c>
      <c r="J4" s="68" t="s">
        <v>92</v>
      </c>
      <c r="K4" s="16">
        <f>Steuerung!I6</f>
        <v>20.946666666666665</v>
      </c>
      <c r="L4" s="7" t="s">
        <v>37</v>
      </c>
      <c r="N4" s="91" t="s">
        <v>125</v>
      </c>
      <c r="O4" s="92">
        <f>G4*D11</f>
        <v>-30</v>
      </c>
      <c r="P4" s="93"/>
    </row>
    <row r="5" spans="1:19" ht="16" thickBot="1">
      <c r="A5" t="s">
        <v>109</v>
      </c>
      <c r="C5" t="s">
        <v>112</v>
      </c>
      <c r="F5" s="94" t="s">
        <v>99</v>
      </c>
      <c r="G5" s="16">
        <f>-1/(K4*K2)</f>
        <v>-47.740292807129222</v>
      </c>
      <c r="H5" s="95" t="s">
        <v>8</v>
      </c>
      <c r="J5" s="79" t="s">
        <v>97</v>
      </c>
      <c r="K5" s="10">
        <f>Steuerung!D5*Steuerung!E5</f>
        <v>5.9999999999999995E-5</v>
      </c>
      <c r="L5" s="11" t="str">
        <f>Steuerung!F5</f>
        <v>kg m2</v>
      </c>
      <c r="N5" s="94" t="s">
        <v>120</v>
      </c>
      <c r="O5" s="16">
        <f>G5*D11</f>
        <v>-0.47740292807129225</v>
      </c>
      <c r="P5" s="95" t="s">
        <v>126</v>
      </c>
    </row>
    <row r="6" spans="1:19" ht="16" thickBot="1">
      <c r="A6" t="s">
        <v>110</v>
      </c>
      <c r="C6" t="s">
        <v>113</v>
      </c>
      <c r="F6" s="94" t="s">
        <v>100</v>
      </c>
      <c r="G6" s="96">
        <f>K3/K5</f>
        <v>795.67154678548695</v>
      </c>
      <c r="H6" s="95" t="s">
        <v>106</v>
      </c>
      <c r="J6" s="111" t="s">
        <v>117</v>
      </c>
      <c r="K6">
        <f>2*3.142</f>
        <v>6.2839999999999998</v>
      </c>
      <c r="N6" s="94" t="s">
        <v>121</v>
      </c>
      <c r="O6" s="16">
        <f>G6*D11</f>
        <v>7.9567154678548695</v>
      </c>
      <c r="P6" s="95" t="s">
        <v>105</v>
      </c>
    </row>
    <row r="7" spans="1:19">
      <c r="F7" s="94" t="s">
        <v>101</v>
      </c>
      <c r="G7" s="6">
        <v>0</v>
      </c>
      <c r="H7" s="95"/>
      <c r="J7" s="112" t="s">
        <v>137</v>
      </c>
      <c r="K7" s="105"/>
      <c r="L7" s="106"/>
      <c r="N7" s="94" t="s">
        <v>122</v>
      </c>
      <c r="O7" s="6">
        <f>G7</f>
        <v>0</v>
      </c>
      <c r="P7" s="95"/>
    </row>
    <row r="8" spans="1:19">
      <c r="F8" s="94" t="s">
        <v>102</v>
      </c>
      <c r="G8" s="6">
        <f>1/K2</f>
        <v>1000</v>
      </c>
      <c r="H8" s="95" t="s">
        <v>104</v>
      </c>
      <c r="J8" s="113" t="s">
        <v>138</v>
      </c>
      <c r="K8" s="107">
        <v>0</v>
      </c>
      <c r="L8" s="108" t="s">
        <v>93</v>
      </c>
      <c r="N8" s="94" t="s">
        <v>123</v>
      </c>
      <c r="O8" s="6">
        <f>G8*D11</f>
        <v>10</v>
      </c>
      <c r="P8" s="95" t="s">
        <v>127</v>
      </c>
      <c r="R8" s="107">
        <v>-1.3</v>
      </c>
    </row>
    <row r="9" spans="1:19" ht="16" thickBot="1">
      <c r="F9" s="97" t="s">
        <v>103</v>
      </c>
      <c r="G9" s="98">
        <v>0</v>
      </c>
      <c r="H9" s="99"/>
      <c r="J9" s="114" t="s">
        <v>139</v>
      </c>
      <c r="K9" s="109">
        <v>0</v>
      </c>
      <c r="L9" s="110" t="s">
        <v>95</v>
      </c>
      <c r="N9" s="97" t="s">
        <v>124</v>
      </c>
      <c r="O9" s="98">
        <v>0</v>
      </c>
      <c r="P9" s="99"/>
      <c r="R9" s="109">
        <v>0.03</v>
      </c>
    </row>
    <row r="10" spans="1:19" ht="16" thickBot="1">
      <c r="N10" s="100" t="s">
        <v>130</v>
      </c>
      <c r="O10" s="101"/>
      <c r="P10" s="102">
        <f>1-O4-O5*O6</f>
        <v>34.798559262184057</v>
      </c>
    </row>
    <row r="11" spans="1:19" ht="16" thickBot="1">
      <c r="A11" s="18" t="s">
        <v>16</v>
      </c>
      <c r="B11" s="19"/>
      <c r="C11" s="19" t="s">
        <v>111</v>
      </c>
      <c r="D11" s="19">
        <v>0.01</v>
      </c>
      <c r="E11" s="25" t="s">
        <v>34</v>
      </c>
      <c r="F11" s="19" t="s">
        <v>69</v>
      </c>
      <c r="G11" s="19"/>
      <c r="H11" s="26"/>
    </row>
    <row r="13" spans="1:19">
      <c r="A13" s="64" t="s">
        <v>17</v>
      </c>
      <c r="B13" s="64" t="s">
        <v>141</v>
      </c>
      <c r="C13" s="104" t="s">
        <v>144</v>
      </c>
      <c r="D13" s="64" t="s">
        <v>114</v>
      </c>
      <c r="E13" s="64" t="s">
        <v>115</v>
      </c>
      <c r="F13" s="64" t="s">
        <v>116</v>
      </c>
      <c r="G13" s="64" t="s">
        <v>131</v>
      </c>
      <c r="H13" s="64" t="s">
        <v>132</v>
      </c>
      <c r="I13" s="64" t="s">
        <v>133</v>
      </c>
      <c r="J13" s="104" t="s">
        <v>140</v>
      </c>
      <c r="K13" s="104" t="s">
        <v>142</v>
      </c>
      <c r="L13" s="104" t="s">
        <v>143</v>
      </c>
    </row>
    <row r="14" spans="1:19">
      <c r="A14" s="87">
        <v>-1</v>
      </c>
      <c r="B14" s="88">
        <v>0</v>
      </c>
      <c r="C14" s="88">
        <v>0</v>
      </c>
      <c r="D14" s="88">
        <v>0</v>
      </c>
      <c r="E14" s="88">
        <v>0</v>
      </c>
      <c r="F14" s="88"/>
      <c r="G14" s="88">
        <f>C14/Steuerung!$D$4</f>
        <v>0</v>
      </c>
      <c r="H14" s="89" t="s">
        <v>119</v>
      </c>
      <c r="I14" s="115"/>
      <c r="J14" s="116">
        <v>0</v>
      </c>
    </row>
    <row r="15" spans="1:19">
      <c r="A15" s="64">
        <v>0</v>
      </c>
      <c r="B15" s="64">
        <v>24</v>
      </c>
      <c r="C15" s="117">
        <f>B15-J15</f>
        <v>24</v>
      </c>
      <c r="D15" s="103">
        <f>(D14 +$O$8*C15 +$O$5*E14)/$P$10</f>
        <v>6.896837256731212</v>
      </c>
      <c r="E15" s="103">
        <f>$O$6*D15+E14</f>
        <v>54.876171679910982</v>
      </c>
      <c r="F15" s="103">
        <f>E15/$K$6</f>
        <v>8.7326816804441414</v>
      </c>
      <c r="G15" s="64">
        <f>C15/Steuerung!$D$4</f>
        <v>1</v>
      </c>
      <c r="H15" s="103">
        <f>D15/Steuerung!$D$2</f>
        <v>2.2989457522437373</v>
      </c>
      <c r="I15" s="57">
        <f>60*F15/Steuerung!$D$1</f>
        <v>0.17465363360888284</v>
      </c>
      <c r="J15" s="103">
        <f>K15+L15</f>
        <v>0</v>
      </c>
      <c r="K15" s="57">
        <f>$K$8*D14</f>
        <v>0</v>
      </c>
      <c r="L15" s="57">
        <f>$K$9*E14</f>
        <v>0</v>
      </c>
    </row>
    <row r="16" spans="1:19">
      <c r="A16" s="64">
        <v>1</v>
      </c>
      <c r="B16" s="64">
        <v>24</v>
      </c>
      <c r="C16" s="117">
        <f t="shared" ref="C16:C79" si="0">B16-J16</f>
        <v>24</v>
      </c>
      <c r="D16" s="103">
        <f>(D15 +$O$8*C16 +$O$5*E15)/$P$10</f>
        <v>6.3421818861114279</v>
      </c>
      <c r="E16" s="103">
        <f t="shared" ref="E16:E79" si="1">$O$6*D16+E15</f>
        <v>105.33910839308275</v>
      </c>
      <c r="F16" s="103">
        <f t="shared" ref="F16:F79" si="2">E16/$K$6</f>
        <v>16.763066262425646</v>
      </c>
      <c r="G16" s="118">
        <f>C16/Steuerung!$D$4</f>
        <v>1</v>
      </c>
      <c r="H16" s="103">
        <f>D16/Steuerung!$D$2</f>
        <v>2.1140606287038093</v>
      </c>
      <c r="I16" s="57">
        <f>60*F16/Steuerung!$D$1</f>
        <v>0.33526132524851293</v>
      </c>
      <c r="J16" s="103">
        <f t="shared" ref="J16:J79" si="3">K16+L16</f>
        <v>0</v>
      </c>
      <c r="K16" s="57">
        <f t="shared" ref="K16:K79" si="4">$K$8*D15</f>
        <v>0</v>
      </c>
      <c r="L16" s="57">
        <f t="shared" ref="L16:L79" si="5">$K$9*E15</f>
        <v>0</v>
      </c>
    </row>
    <row r="17" spans="1:12">
      <c r="A17" s="64">
        <v>2</v>
      </c>
      <c r="B17" s="64">
        <v>24</v>
      </c>
      <c r="C17" s="117">
        <f t="shared" si="0"/>
        <v>24</v>
      </c>
      <c r="D17" s="103">
        <f t="shared" ref="D17:D79" si="6">(D16 +$O$8*C17 +$O$5*E16)/$P$10</f>
        <v>5.6339396588722348</v>
      </c>
      <c r="E17" s="103">
        <f t="shared" si="1"/>
        <v>150.16676322179245</v>
      </c>
      <c r="F17" s="103">
        <f t="shared" si="2"/>
        <v>23.896684153690714</v>
      </c>
      <c r="G17" s="118">
        <f>C17/Steuerung!$D$4</f>
        <v>1</v>
      </c>
      <c r="H17" s="103">
        <f>D17/Steuerung!$D$2</f>
        <v>1.8779798862907449</v>
      </c>
      <c r="I17" s="57">
        <f>60*F17/Steuerung!$D$1</f>
        <v>0.47793368307381429</v>
      </c>
      <c r="J17" s="103">
        <f t="shared" si="3"/>
        <v>0</v>
      </c>
      <c r="K17" s="57">
        <f t="shared" si="4"/>
        <v>0</v>
      </c>
      <c r="L17" s="57">
        <f t="shared" si="5"/>
        <v>0</v>
      </c>
    </row>
    <row r="18" spans="1:12">
      <c r="A18" s="64">
        <v>3</v>
      </c>
      <c r="B18" s="64">
        <v>24</v>
      </c>
      <c r="C18" s="117">
        <f t="shared" si="0"/>
        <v>24</v>
      </c>
      <c r="D18" s="103">
        <f t="shared" si="6"/>
        <v>4.9985945075268283</v>
      </c>
      <c r="E18" s="103">
        <f t="shared" si="1"/>
        <v>189.93915745736555</v>
      </c>
      <c r="F18" s="103">
        <f t="shared" si="2"/>
        <v>30.225836641846843</v>
      </c>
      <c r="G18" s="118">
        <f>C18/Steuerung!$D$4</f>
        <v>1</v>
      </c>
      <c r="H18" s="103">
        <f>D18/Steuerung!$D$2</f>
        <v>1.6661981691756094</v>
      </c>
      <c r="I18" s="57">
        <f>60*F18/Steuerung!$D$1</f>
        <v>0.60451673283693685</v>
      </c>
      <c r="J18" s="103">
        <f t="shared" si="3"/>
        <v>0</v>
      </c>
      <c r="K18" s="57">
        <f t="shared" si="4"/>
        <v>0</v>
      </c>
      <c r="L18" s="57">
        <f t="shared" si="5"/>
        <v>0</v>
      </c>
    </row>
    <row r="19" spans="1:12">
      <c r="A19" s="64">
        <v>4</v>
      </c>
      <c r="B19" s="64">
        <v>24</v>
      </c>
      <c r="C19" s="117">
        <f t="shared" si="0"/>
        <v>24</v>
      </c>
      <c r="D19" s="103">
        <f t="shared" si="6"/>
        <v>4.4346975235175483</v>
      </c>
      <c r="E19" s="103">
        <f t="shared" si="1"/>
        <v>225.22478383799532</v>
      </c>
      <c r="F19" s="103">
        <f t="shared" si="2"/>
        <v>35.840990426160936</v>
      </c>
      <c r="G19" s="118">
        <f>C19/Steuerung!$D$4</f>
        <v>1</v>
      </c>
      <c r="H19" s="103">
        <f>D19/Steuerung!$D$2</f>
        <v>1.4782325078391827</v>
      </c>
      <c r="I19" s="57">
        <f>60*F19/Steuerung!$D$1</f>
        <v>0.71681980852321869</v>
      </c>
      <c r="J19" s="103">
        <f t="shared" si="3"/>
        <v>0</v>
      </c>
      <c r="K19" s="57">
        <f t="shared" si="4"/>
        <v>0</v>
      </c>
      <c r="L19" s="57">
        <f t="shared" si="5"/>
        <v>0</v>
      </c>
    </row>
    <row r="20" spans="1:12">
      <c r="A20" s="64">
        <v>5</v>
      </c>
      <c r="B20" s="64">
        <v>24</v>
      </c>
      <c r="C20" s="117">
        <f t="shared" si="0"/>
        <v>24</v>
      </c>
      <c r="D20" s="103">
        <f t="shared" si="6"/>
        <v>3.9344078935422497</v>
      </c>
      <c r="E20" s="103">
        <f t="shared" si="1"/>
        <v>256.52974798139326</v>
      </c>
      <c r="F20" s="103">
        <f t="shared" si="2"/>
        <v>40.822684274569262</v>
      </c>
      <c r="G20" s="118">
        <f>C20/Steuerung!$D$4</f>
        <v>1</v>
      </c>
      <c r="H20" s="103">
        <f>D20/Steuerung!$D$2</f>
        <v>1.3114692978474165</v>
      </c>
      <c r="I20" s="57">
        <f>60*F20/Steuerung!$D$1</f>
        <v>0.81645368549138519</v>
      </c>
      <c r="J20" s="103">
        <f t="shared" si="3"/>
        <v>0</v>
      </c>
      <c r="K20" s="57">
        <f t="shared" si="4"/>
        <v>0</v>
      </c>
      <c r="L20" s="57">
        <f t="shared" si="5"/>
        <v>0</v>
      </c>
    </row>
    <row r="21" spans="1:12">
      <c r="A21" s="64">
        <v>6</v>
      </c>
      <c r="B21" s="64">
        <v>24</v>
      </c>
      <c r="C21" s="117">
        <f t="shared" si="0"/>
        <v>24</v>
      </c>
      <c r="D21" s="103">
        <f t="shared" si="6"/>
        <v>3.4905570128540679</v>
      </c>
      <c r="E21" s="103">
        <f t="shared" si="1"/>
        <v>284.30311695699851</v>
      </c>
      <c r="F21" s="103">
        <f t="shared" si="2"/>
        <v>45.242380165022041</v>
      </c>
      <c r="G21" s="118">
        <f>C21/Steuerung!$D$4</f>
        <v>1</v>
      </c>
      <c r="H21" s="103">
        <f>D21/Steuerung!$D$2</f>
        <v>1.1635190042846892</v>
      </c>
      <c r="I21" s="57">
        <f>60*F21/Steuerung!$D$1</f>
        <v>0.90484760330044078</v>
      </c>
      <c r="J21" s="103">
        <f t="shared" si="3"/>
        <v>0</v>
      </c>
      <c r="K21" s="57">
        <f t="shared" si="4"/>
        <v>0</v>
      </c>
      <c r="L21" s="57">
        <f t="shared" si="5"/>
        <v>0</v>
      </c>
    </row>
    <row r="22" spans="1:12">
      <c r="A22" s="64">
        <v>7</v>
      </c>
      <c r="B22" s="64">
        <v>24</v>
      </c>
      <c r="C22" s="117">
        <f t="shared" si="0"/>
        <v>24</v>
      </c>
      <c r="D22" s="103">
        <f t="shared" si="6"/>
        <v>3.0967781081355139</v>
      </c>
      <c r="E22" s="103">
        <f t="shared" si="1"/>
        <v>308.9432992305147</v>
      </c>
      <c r="F22" s="103">
        <f t="shared" si="2"/>
        <v>49.163478553551037</v>
      </c>
      <c r="G22" s="118">
        <f>C22/Steuerung!$D$4</f>
        <v>1</v>
      </c>
      <c r="H22" s="103">
        <f>D22/Steuerung!$D$2</f>
        <v>1.0322593693785047</v>
      </c>
      <c r="I22" s="57">
        <f>60*F22/Steuerung!$D$1</f>
        <v>0.98326957107102075</v>
      </c>
      <c r="J22" s="103">
        <f t="shared" si="3"/>
        <v>0</v>
      </c>
      <c r="K22" s="57">
        <f t="shared" si="4"/>
        <v>0</v>
      </c>
      <c r="L22" s="57">
        <f t="shared" si="5"/>
        <v>0</v>
      </c>
    </row>
    <row r="23" spans="1:12">
      <c r="A23" s="64">
        <v>8</v>
      </c>
      <c r="B23" s="64">
        <v>24</v>
      </c>
      <c r="C23" s="117">
        <f t="shared" si="0"/>
        <v>24</v>
      </c>
      <c r="D23" s="103">
        <f t="shared" si="6"/>
        <v>2.7474224357149968</v>
      </c>
      <c r="E23" s="103">
        <f t="shared" si="1"/>
        <v>330.80375782149969</v>
      </c>
      <c r="F23" s="103">
        <f t="shared" si="2"/>
        <v>52.642227533656857</v>
      </c>
      <c r="G23" s="118">
        <f>C23/Steuerung!$D$4</f>
        <v>1</v>
      </c>
      <c r="H23" s="103">
        <f>D23/Steuerung!$D$2</f>
        <v>0.91580747857166556</v>
      </c>
      <c r="I23" s="57">
        <f>60*F23/Steuerung!$D$1</f>
        <v>1.0528445506731372</v>
      </c>
      <c r="J23" s="103">
        <f t="shared" si="3"/>
        <v>0</v>
      </c>
      <c r="K23" s="57">
        <f t="shared" si="4"/>
        <v>0</v>
      </c>
      <c r="L23" s="57">
        <f t="shared" si="5"/>
        <v>0</v>
      </c>
    </row>
    <row r="24" spans="1:12">
      <c r="A24" s="64">
        <v>9</v>
      </c>
      <c r="B24" s="64">
        <v>24</v>
      </c>
      <c r="C24" s="117">
        <f t="shared" si="0"/>
        <v>24</v>
      </c>
      <c r="D24" s="103">
        <f t="shared" si="6"/>
        <v>2.4374784943157106</v>
      </c>
      <c r="E24" s="103">
        <f t="shared" si="1"/>
        <v>350.19808065978509</v>
      </c>
      <c r="F24" s="103">
        <f t="shared" si="2"/>
        <v>55.728529703975987</v>
      </c>
      <c r="G24" s="118">
        <f>C24/Steuerung!$D$4</f>
        <v>1</v>
      </c>
      <c r="H24" s="103">
        <f>D24/Steuerung!$D$2</f>
        <v>0.81249283143857021</v>
      </c>
      <c r="I24" s="57">
        <f>60*F24/Steuerung!$D$1</f>
        <v>1.1145705940795199</v>
      </c>
      <c r="J24" s="103">
        <f t="shared" si="3"/>
        <v>0</v>
      </c>
      <c r="K24" s="57">
        <f t="shared" si="4"/>
        <v>0</v>
      </c>
      <c r="L24" s="57">
        <f t="shared" si="5"/>
        <v>0</v>
      </c>
    </row>
    <row r="25" spans="1:12">
      <c r="A25" s="64">
        <v>10</v>
      </c>
      <c r="B25" s="64">
        <v>24</v>
      </c>
      <c r="C25" s="117">
        <f t="shared" si="0"/>
        <v>24</v>
      </c>
      <c r="D25" s="103">
        <f t="shared" si="6"/>
        <v>2.1625001430494484</v>
      </c>
      <c r="E25" s="103">
        <f t="shared" si="1"/>
        <v>367.404478997225</v>
      </c>
      <c r="F25" s="103">
        <f t="shared" si="2"/>
        <v>58.466658019927593</v>
      </c>
      <c r="G25" s="118">
        <f>C25/Steuerung!$D$4</f>
        <v>1</v>
      </c>
      <c r="H25" s="103">
        <f>D25/Steuerung!$D$2</f>
        <v>0.72083338101648275</v>
      </c>
      <c r="I25" s="57">
        <f>60*F25/Steuerung!$D$1</f>
        <v>1.169333160398552</v>
      </c>
      <c r="J25" s="103">
        <f t="shared" si="3"/>
        <v>0</v>
      </c>
      <c r="K25" s="57">
        <f t="shared" si="4"/>
        <v>0</v>
      </c>
      <c r="L25" s="57">
        <f t="shared" si="5"/>
        <v>0</v>
      </c>
    </row>
    <row r="26" spans="1:12">
      <c r="A26" s="64">
        <v>11</v>
      </c>
      <c r="B26" s="64">
        <v>24</v>
      </c>
      <c r="C26" s="117">
        <f t="shared" si="0"/>
        <v>24</v>
      </c>
      <c r="D26" s="103">
        <f t="shared" si="6"/>
        <v>1.9185428218523444</v>
      </c>
      <c r="E26" s="103">
        <f t="shared" si="1"/>
        <v>382.66977834359949</v>
      </c>
      <c r="F26" s="103">
        <f t="shared" si="2"/>
        <v>60.895890888542247</v>
      </c>
      <c r="G26" s="118">
        <f>C26/Steuerung!$D$4</f>
        <v>1</v>
      </c>
      <c r="H26" s="103">
        <f>D26/Steuerung!$D$2</f>
        <v>0.63951427395078142</v>
      </c>
      <c r="I26" s="57">
        <f>60*F26/Steuerung!$D$1</f>
        <v>1.217917817770845</v>
      </c>
      <c r="J26" s="103">
        <f t="shared" si="3"/>
        <v>0</v>
      </c>
      <c r="K26" s="57">
        <f t="shared" si="4"/>
        <v>0</v>
      </c>
      <c r="L26" s="57">
        <f t="shared" si="5"/>
        <v>0</v>
      </c>
    </row>
    <row r="27" spans="1:12">
      <c r="A27" s="64">
        <v>12</v>
      </c>
      <c r="B27" s="64">
        <v>24</v>
      </c>
      <c r="C27" s="117">
        <f t="shared" si="0"/>
        <v>24</v>
      </c>
      <c r="D27" s="103">
        <f t="shared" si="6"/>
        <v>1.7021069668419397</v>
      </c>
      <c r="E27" s="103">
        <f t="shared" si="1"/>
        <v>396.2129591746143</v>
      </c>
      <c r="F27" s="103">
        <f t="shared" si="2"/>
        <v>63.051075616584072</v>
      </c>
      <c r="G27" s="118">
        <f>C27/Steuerung!$D$4</f>
        <v>1</v>
      </c>
      <c r="H27" s="103">
        <f>D27/Steuerung!$D$2</f>
        <v>0.56736898894731325</v>
      </c>
      <c r="I27" s="57">
        <f>60*F27/Steuerung!$D$1</f>
        <v>1.2610215123316815</v>
      </c>
      <c r="J27" s="103">
        <f t="shared" si="3"/>
        <v>0</v>
      </c>
      <c r="K27" s="57">
        <f t="shared" si="4"/>
        <v>0</v>
      </c>
      <c r="L27" s="57">
        <f t="shared" si="5"/>
        <v>0</v>
      </c>
    </row>
    <row r="28" spans="1:12">
      <c r="A28" s="64">
        <v>13</v>
      </c>
      <c r="B28" s="64">
        <v>24</v>
      </c>
      <c r="C28" s="117">
        <f t="shared" si="0"/>
        <v>24</v>
      </c>
      <c r="D28" s="103">
        <f t="shared" si="6"/>
        <v>1.5100878091293588</v>
      </c>
      <c r="E28" s="103">
        <f t="shared" si="1"/>
        <v>408.22829820333294</v>
      </c>
      <c r="F28" s="103">
        <f t="shared" si="2"/>
        <v>64.963128294610584</v>
      </c>
      <c r="G28" s="118">
        <f>C28/Steuerung!$D$4</f>
        <v>1</v>
      </c>
      <c r="H28" s="103">
        <f>D28/Steuerung!$D$2</f>
        <v>0.50336260304311964</v>
      </c>
      <c r="I28" s="57">
        <f>60*F28/Steuerung!$D$1</f>
        <v>1.2992625658922117</v>
      </c>
      <c r="J28" s="103">
        <f t="shared" si="3"/>
        <v>0</v>
      </c>
      <c r="K28" s="57">
        <f t="shared" si="4"/>
        <v>0</v>
      </c>
      <c r="L28" s="57">
        <f t="shared" si="5"/>
        <v>0</v>
      </c>
    </row>
    <row r="29" spans="1:12">
      <c r="A29" s="64">
        <v>14</v>
      </c>
      <c r="B29" s="64">
        <v>24</v>
      </c>
      <c r="C29" s="117">
        <f t="shared" si="0"/>
        <v>24</v>
      </c>
      <c r="D29" s="103">
        <f t="shared" si="6"/>
        <v>1.3397308369591243</v>
      </c>
      <c r="E29" s="103">
        <f t="shared" si="1"/>
        <v>418.88815527652775</v>
      </c>
      <c r="F29" s="103">
        <f t="shared" si="2"/>
        <v>66.659477287798822</v>
      </c>
      <c r="G29" s="118">
        <f>C29/Steuerung!$D$4</f>
        <v>1</v>
      </c>
      <c r="H29" s="103">
        <f>D29/Steuerung!$D$2</f>
        <v>0.44657694565304146</v>
      </c>
      <c r="I29" s="57">
        <f>60*F29/Steuerung!$D$1</f>
        <v>1.3331895457559764</v>
      </c>
      <c r="J29" s="103">
        <f t="shared" si="3"/>
        <v>0</v>
      </c>
      <c r="K29" s="57">
        <f t="shared" si="4"/>
        <v>0</v>
      </c>
      <c r="L29" s="57">
        <f t="shared" si="5"/>
        <v>0</v>
      </c>
    </row>
    <row r="30" spans="1:12">
      <c r="A30" s="64">
        <v>15</v>
      </c>
      <c r="B30" s="64">
        <v>24</v>
      </c>
      <c r="C30" s="117">
        <f t="shared" si="0"/>
        <v>24</v>
      </c>
      <c r="D30" s="103">
        <f t="shared" si="6"/>
        <v>1.1885922822819386</v>
      </c>
      <c r="E30" s="103">
        <f t="shared" si="1"/>
        <v>428.34544587393339</v>
      </c>
      <c r="F30" s="103">
        <f t="shared" si="2"/>
        <v>68.164456695406329</v>
      </c>
      <c r="G30" s="118">
        <f>C30/Steuerung!$D$4</f>
        <v>1</v>
      </c>
      <c r="H30" s="103">
        <f>D30/Steuerung!$D$2</f>
        <v>0.39619742742731284</v>
      </c>
      <c r="I30" s="57">
        <f>60*F30/Steuerung!$D$1</f>
        <v>1.3632891339081266</v>
      </c>
      <c r="J30" s="103">
        <f t="shared" si="3"/>
        <v>0</v>
      </c>
      <c r="K30" s="57">
        <f t="shared" si="4"/>
        <v>0</v>
      </c>
      <c r="L30" s="57">
        <f t="shared" si="5"/>
        <v>0</v>
      </c>
    </row>
    <row r="31" spans="1:12">
      <c r="A31" s="64">
        <v>16</v>
      </c>
      <c r="B31" s="64">
        <v>24</v>
      </c>
      <c r="C31" s="117">
        <f t="shared" si="0"/>
        <v>24</v>
      </c>
      <c r="D31" s="103">
        <f t="shared" si="6"/>
        <v>1.0545040649409871</v>
      </c>
      <c r="E31" s="103">
        <f t="shared" si="1"/>
        <v>436.73583467836517</v>
      </c>
      <c r="F31" s="103">
        <f t="shared" si="2"/>
        <v>69.499655423037112</v>
      </c>
      <c r="G31" s="118">
        <f>C31/Steuerung!$D$4</f>
        <v>1</v>
      </c>
      <c r="H31" s="103">
        <f>D31/Steuerung!$D$2</f>
        <v>0.35150135498032903</v>
      </c>
      <c r="I31" s="57">
        <f>60*F31/Steuerung!$D$1</f>
        <v>1.3899931084607422</v>
      </c>
      <c r="J31" s="103">
        <f t="shared" si="3"/>
        <v>0</v>
      </c>
      <c r="K31" s="57">
        <f t="shared" si="4"/>
        <v>0</v>
      </c>
      <c r="L31" s="57">
        <f t="shared" si="5"/>
        <v>0</v>
      </c>
    </row>
    <row r="32" spans="1:12">
      <c r="A32" s="64">
        <v>17</v>
      </c>
      <c r="B32" s="64">
        <v>24</v>
      </c>
      <c r="C32" s="117">
        <f t="shared" si="0"/>
        <v>24</v>
      </c>
      <c r="D32" s="103">
        <f t="shared" si="6"/>
        <v>0.9355426915966627</v>
      </c>
      <c r="E32" s="103">
        <f t="shared" si="1"/>
        <v>444.17968168343089</v>
      </c>
      <c r="F32" s="103">
        <f t="shared" si="2"/>
        <v>70.684226875148141</v>
      </c>
      <c r="G32" s="118">
        <f>C32/Steuerung!$D$4</f>
        <v>1</v>
      </c>
      <c r="H32" s="103">
        <f>D32/Steuerung!$D$2</f>
        <v>0.31184756386555423</v>
      </c>
      <c r="I32" s="57">
        <f>60*F32/Steuerung!$D$1</f>
        <v>1.4136845375029627</v>
      </c>
      <c r="J32" s="103">
        <f t="shared" si="3"/>
        <v>0</v>
      </c>
      <c r="K32" s="57">
        <f t="shared" si="4"/>
        <v>0</v>
      </c>
      <c r="L32" s="57">
        <f t="shared" si="5"/>
        <v>0</v>
      </c>
    </row>
    <row r="33" spans="1:12">
      <c r="A33" s="64">
        <v>18</v>
      </c>
      <c r="B33" s="64">
        <v>24</v>
      </c>
      <c r="C33" s="117">
        <f t="shared" si="0"/>
        <v>24</v>
      </c>
      <c r="D33" s="103">
        <f t="shared" si="6"/>
        <v>0.83000166324527969</v>
      </c>
      <c r="E33" s="103">
        <f t="shared" si="1"/>
        <v>450.78376875571985</v>
      </c>
      <c r="F33" s="103">
        <f t="shared" si="2"/>
        <v>71.73516371033098</v>
      </c>
      <c r="G33" s="118">
        <f>C33/Steuerung!$D$4</f>
        <v>1</v>
      </c>
      <c r="H33" s="103">
        <f>D33/Steuerung!$D$2</f>
        <v>0.2766672210817599</v>
      </c>
      <c r="I33" s="57">
        <f>60*F33/Steuerung!$D$1</f>
        <v>1.4347032742066197</v>
      </c>
      <c r="J33" s="103">
        <f t="shared" si="3"/>
        <v>0</v>
      </c>
      <c r="K33" s="57">
        <f t="shared" si="4"/>
        <v>0</v>
      </c>
      <c r="L33" s="57">
        <f t="shared" si="5"/>
        <v>0</v>
      </c>
    </row>
    <row r="34" spans="1:12">
      <c r="A34" s="64">
        <v>19</v>
      </c>
      <c r="B34" s="64">
        <v>24</v>
      </c>
      <c r="C34" s="117">
        <f t="shared" si="0"/>
        <v>24</v>
      </c>
      <c r="D34" s="103">
        <f t="shared" si="6"/>
        <v>0.7363669955180796</v>
      </c>
      <c r="E34" s="103">
        <f t="shared" si="1"/>
        <v>456.64283141897636</v>
      </c>
      <c r="F34" s="103">
        <f t="shared" si="2"/>
        <v>72.667541600728256</v>
      </c>
      <c r="G34" s="118">
        <f>C34/Steuerung!$D$4</f>
        <v>1</v>
      </c>
      <c r="H34" s="103">
        <f>D34/Steuerung!$D$2</f>
        <v>0.24545566517269321</v>
      </c>
      <c r="I34" s="57">
        <f>60*F34/Steuerung!$D$1</f>
        <v>1.4533508320145649</v>
      </c>
      <c r="J34" s="103">
        <f t="shared" si="3"/>
        <v>0</v>
      </c>
      <c r="K34" s="57">
        <f t="shared" si="4"/>
        <v>0</v>
      </c>
      <c r="L34" s="57">
        <f t="shared" si="5"/>
        <v>0</v>
      </c>
    </row>
    <row r="35" spans="1:12">
      <c r="A35" s="64">
        <v>20</v>
      </c>
      <c r="B35" s="64">
        <v>24</v>
      </c>
      <c r="C35" s="117">
        <f t="shared" si="0"/>
        <v>24</v>
      </c>
      <c r="D35" s="103">
        <f t="shared" si="6"/>
        <v>0.6532955005995964</v>
      </c>
      <c r="E35" s="103">
        <f t="shared" si="1"/>
        <v>461.84091783367717</v>
      </c>
      <c r="F35" s="103">
        <f t="shared" si="2"/>
        <v>73.494735492310184</v>
      </c>
      <c r="G35" s="118">
        <f>C35/Steuerung!$D$4</f>
        <v>1</v>
      </c>
      <c r="H35" s="103">
        <f>D35/Steuerung!$D$2</f>
        <v>0.21776516686653213</v>
      </c>
      <c r="I35" s="57">
        <f>60*F35/Steuerung!$D$1</f>
        <v>1.4698947098462036</v>
      </c>
      <c r="J35" s="103">
        <f t="shared" si="3"/>
        <v>0</v>
      </c>
      <c r="K35" s="57">
        <f t="shared" si="4"/>
        <v>0</v>
      </c>
      <c r="L35" s="57">
        <f t="shared" si="5"/>
        <v>0</v>
      </c>
    </row>
    <row r="36" spans="1:12">
      <c r="A36" s="64">
        <v>21</v>
      </c>
      <c r="B36" s="64">
        <v>24</v>
      </c>
      <c r="C36" s="117">
        <f t="shared" si="0"/>
        <v>24</v>
      </c>
      <c r="D36" s="103">
        <f t="shared" si="6"/>
        <v>0.57959551921987096</v>
      </c>
      <c r="E36" s="103">
        <f t="shared" si="1"/>
        <v>466.45259446655331</v>
      </c>
      <c r="F36" s="103">
        <f t="shared" si="2"/>
        <v>74.228611468261192</v>
      </c>
      <c r="G36" s="118">
        <f>C36/Steuerung!$D$4</f>
        <v>1</v>
      </c>
      <c r="H36" s="103">
        <f>D36/Steuerung!$D$2</f>
        <v>0.19319850640662364</v>
      </c>
      <c r="I36" s="57">
        <f>60*F36/Steuerung!$D$1</f>
        <v>1.4845722293652239</v>
      </c>
      <c r="J36" s="103">
        <f t="shared" si="3"/>
        <v>0</v>
      </c>
      <c r="K36" s="57">
        <f t="shared" si="4"/>
        <v>0</v>
      </c>
      <c r="L36" s="57">
        <f t="shared" si="5"/>
        <v>0</v>
      </c>
    </row>
    <row r="37" spans="1:12">
      <c r="A37" s="64">
        <v>22</v>
      </c>
      <c r="B37" s="64">
        <v>24</v>
      </c>
      <c r="C37" s="117">
        <f t="shared" si="0"/>
        <v>24</v>
      </c>
      <c r="D37" s="103">
        <f t="shared" si="6"/>
        <v>0.51420982632121792</v>
      </c>
      <c r="E37" s="103">
        <f t="shared" si="1"/>
        <v>470.54401574536632</v>
      </c>
      <c r="F37" s="103">
        <f t="shared" si="2"/>
        <v>74.879696967754029</v>
      </c>
      <c r="G37" s="118">
        <f>C37/Steuerung!$D$4</f>
        <v>1</v>
      </c>
      <c r="H37" s="103">
        <f>D37/Steuerung!$D$2</f>
        <v>0.17140327544040598</v>
      </c>
      <c r="I37" s="57">
        <f>60*F37/Steuerung!$D$1</f>
        <v>1.4975939393550808</v>
      </c>
      <c r="J37" s="103">
        <f t="shared" si="3"/>
        <v>0</v>
      </c>
      <c r="K37" s="57">
        <f t="shared" si="4"/>
        <v>0</v>
      </c>
      <c r="L37" s="57">
        <f t="shared" si="5"/>
        <v>0</v>
      </c>
    </row>
    <row r="38" spans="1:12">
      <c r="A38" s="64">
        <v>23</v>
      </c>
      <c r="B38" s="64">
        <v>24</v>
      </c>
      <c r="C38" s="117">
        <f t="shared" si="0"/>
        <v>24</v>
      </c>
      <c r="D38" s="103">
        <f t="shared" si="6"/>
        <v>0.45620046518163587</v>
      </c>
      <c r="E38" s="103">
        <f t="shared" si="1"/>
        <v>474.17387304311961</v>
      </c>
      <c r="F38" s="103">
        <f t="shared" si="2"/>
        <v>75.457331801896828</v>
      </c>
      <c r="G38" s="118">
        <f>C38/Steuerung!$D$4</f>
        <v>1</v>
      </c>
      <c r="H38" s="103">
        <f>D38/Steuerung!$D$2</f>
        <v>0.15206682172721195</v>
      </c>
      <c r="I38" s="57">
        <f>60*F38/Steuerung!$D$1</f>
        <v>1.5091466360379366</v>
      </c>
      <c r="J38" s="103">
        <f t="shared" si="3"/>
        <v>0</v>
      </c>
      <c r="K38" s="57">
        <f t="shared" si="4"/>
        <v>0</v>
      </c>
      <c r="L38" s="57">
        <f t="shared" si="5"/>
        <v>0</v>
      </c>
    </row>
    <row r="39" spans="1:12">
      <c r="A39" s="64">
        <v>24</v>
      </c>
      <c r="B39" s="64">
        <v>24</v>
      </c>
      <c r="C39" s="117">
        <f t="shared" si="0"/>
        <v>24</v>
      </c>
      <c r="D39" s="103">
        <f t="shared" si="6"/>
        <v>0.40473529244058676</v>
      </c>
      <c r="E39" s="103">
        <f t="shared" si="1"/>
        <v>477.39423660486841</v>
      </c>
      <c r="F39" s="103">
        <f t="shared" si="2"/>
        <v>75.969802133174483</v>
      </c>
      <c r="G39" s="118">
        <f>C39/Steuerung!$D$4</f>
        <v>1</v>
      </c>
      <c r="H39" s="103">
        <f>D39/Steuerung!$D$2</f>
        <v>0.13491176414686226</v>
      </c>
      <c r="I39" s="57">
        <f>60*F39/Steuerung!$D$1</f>
        <v>1.5193960426634898</v>
      </c>
      <c r="J39" s="103">
        <f t="shared" si="3"/>
        <v>0</v>
      </c>
      <c r="K39" s="57">
        <f t="shared" si="4"/>
        <v>0</v>
      </c>
      <c r="L39" s="57">
        <f t="shared" si="5"/>
        <v>0</v>
      </c>
    </row>
    <row r="40" spans="1:12">
      <c r="A40" s="64">
        <v>25</v>
      </c>
      <c r="B40" s="64">
        <v>24</v>
      </c>
      <c r="C40" s="117">
        <f t="shared" si="0"/>
        <v>24</v>
      </c>
      <c r="D40" s="103">
        <f t="shared" si="6"/>
        <v>0.35907604101575302</v>
      </c>
      <c r="E40" s="103">
        <f t="shared" si="1"/>
        <v>480.25130249455452</v>
      </c>
      <c r="F40" s="103">
        <f t="shared" si="2"/>
        <v>76.424459340317398</v>
      </c>
      <c r="G40" s="118">
        <f>C40/Steuerung!$D$4</f>
        <v>1</v>
      </c>
      <c r="H40" s="103">
        <f>D40/Steuerung!$D$2</f>
        <v>0.11969201367191767</v>
      </c>
      <c r="I40" s="57">
        <f>60*F40/Steuerung!$D$1</f>
        <v>1.5284891868063482</v>
      </c>
      <c r="J40" s="103">
        <f t="shared" si="3"/>
        <v>0</v>
      </c>
      <c r="K40" s="57">
        <f t="shared" si="4"/>
        <v>0</v>
      </c>
      <c r="L40" s="57">
        <f t="shared" si="5"/>
        <v>0</v>
      </c>
    </row>
    <row r="41" spans="1:12">
      <c r="A41" s="64">
        <v>26</v>
      </c>
      <c r="B41" s="64">
        <v>24</v>
      </c>
      <c r="C41" s="117">
        <f t="shared" si="0"/>
        <v>24</v>
      </c>
      <c r="D41" s="103">
        <f t="shared" si="6"/>
        <v>0.31856772967352293</v>
      </c>
      <c r="E41" s="103">
        <f t="shared" si="1"/>
        <v>482.78605527680725</v>
      </c>
      <c r="F41" s="103">
        <f t="shared" si="2"/>
        <v>76.827825473712167</v>
      </c>
      <c r="G41" s="118">
        <f>C41/Steuerung!$D$4</f>
        <v>1</v>
      </c>
      <c r="H41" s="103">
        <f>D41/Steuerung!$D$2</f>
        <v>0.10618924322450764</v>
      </c>
      <c r="I41" s="57">
        <f>60*F41/Steuerung!$D$1</f>
        <v>1.5365565094742433</v>
      </c>
      <c r="J41" s="103">
        <f t="shared" si="3"/>
        <v>0</v>
      </c>
      <c r="K41" s="57">
        <f t="shared" si="4"/>
        <v>0</v>
      </c>
      <c r="L41" s="57">
        <f t="shared" si="5"/>
        <v>0</v>
      </c>
    </row>
    <row r="42" spans="1:12">
      <c r="A42" s="64">
        <v>27</v>
      </c>
      <c r="B42" s="64">
        <v>24</v>
      </c>
      <c r="C42" s="117">
        <f t="shared" si="0"/>
        <v>24</v>
      </c>
      <c r="D42" s="103">
        <f t="shared" si="6"/>
        <v>0.28262926733363014</v>
      </c>
      <c r="E42" s="103">
        <f t="shared" si="1"/>
        <v>485.0348559398692</v>
      </c>
      <c r="F42" s="103">
        <f t="shared" si="2"/>
        <v>77.185686814110312</v>
      </c>
      <c r="G42" s="118">
        <f>C42/Steuerung!$D$4</f>
        <v>1</v>
      </c>
      <c r="H42" s="103">
        <f>D42/Steuerung!$D$2</f>
        <v>9.4209755777876714E-2</v>
      </c>
      <c r="I42" s="57">
        <f>60*F42/Steuerung!$D$1</f>
        <v>1.5437137362822062</v>
      </c>
      <c r="J42" s="103">
        <f t="shared" si="3"/>
        <v>0</v>
      </c>
      <c r="K42" s="57">
        <f t="shared" si="4"/>
        <v>0</v>
      </c>
      <c r="L42" s="57">
        <f t="shared" si="5"/>
        <v>0</v>
      </c>
    </row>
    <row r="43" spans="1:12">
      <c r="A43" s="64">
        <v>28</v>
      </c>
      <c r="B43" s="64">
        <v>24</v>
      </c>
      <c r="C43" s="117">
        <f t="shared" si="0"/>
        <v>24</v>
      </c>
      <c r="D43" s="103">
        <f t="shared" si="6"/>
        <v>0.25074511732687788</v>
      </c>
      <c r="E43" s="103">
        <f t="shared" si="1"/>
        <v>487.02996349339304</v>
      </c>
      <c r="F43" s="103">
        <f t="shared" si="2"/>
        <v>77.503176876733463</v>
      </c>
      <c r="G43" s="118">
        <f>C43/Steuerung!$D$4</f>
        <v>1</v>
      </c>
      <c r="H43" s="103">
        <f>D43/Steuerung!$D$2</f>
        <v>8.3581705775625958E-2</v>
      </c>
      <c r="I43" s="57">
        <f>60*F43/Steuerung!$D$1</f>
        <v>1.5500635375346692</v>
      </c>
      <c r="J43" s="103">
        <f t="shared" si="3"/>
        <v>0</v>
      </c>
      <c r="K43" s="57">
        <f t="shared" si="4"/>
        <v>0</v>
      </c>
      <c r="L43" s="57">
        <f t="shared" si="5"/>
        <v>0</v>
      </c>
    </row>
    <row r="44" spans="1:12">
      <c r="A44" s="64">
        <v>29</v>
      </c>
      <c r="B44" s="64">
        <v>24</v>
      </c>
      <c r="C44" s="117">
        <f t="shared" si="0"/>
        <v>24</v>
      </c>
      <c r="D44" s="103">
        <f t="shared" si="6"/>
        <v>0.22245790202983892</v>
      </c>
      <c r="E44" s="103">
        <f t="shared" si="1"/>
        <v>488.7999977234204</v>
      </c>
      <c r="F44" s="103">
        <f t="shared" si="2"/>
        <v>77.784850051467288</v>
      </c>
      <c r="G44" s="118">
        <f>C44/Steuerung!$D$4</f>
        <v>1</v>
      </c>
      <c r="H44" s="103">
        <f>D44/Steuerung!$D$2</f>
        <v>7.4152634009946303E-2</v>
      </c>
      <c r="I44" s="57">
        <f>60*F44/Steuerung!$D$1</f>
        <v>1.5556970010293456</v>
      </c>
      <c r="J44" s="103">
        <f t="shared" si="3"/>
        <v>0</v>
      </c>
      <c r="K44" s="57">
        <f t="shared" si="4"/>
        <v>0</v>
      </c>
      <c r="L44" s="57">
        <f t="shared" si="5"/>
        <v>0</v>
      </c>
    </row>
    <row r="45" spans="1:12">
      <c r="A45" s="64">
        <v>30</v>
      </c>
      <c r="B45" s="64">
        <v>24</v>
      </c>
      <c r="C45" s="117">
        <f t="shared" si="0"/>
        <v>24</v>
      </c>
      <c r="D45" s="103">
        <f t="shared" si="6"/>
        <v>0.19736184179013921</v>
      </c>
      <c r="E45" s="103">
        <f t="shared" si="1"/>
        <v>490.37034974275633</v>
      </c>
      <c r="F45" s="103">
        <f t="shared" si="2"/>
        <v>78.034746935511833</v>
      </c>
      <c r="G45" s="118">
        <f>C45/Steuerung!$D$4</f>
        <v>1</v>
      </c>
      <c r="H45" s="103">
        <f>D45/Steuerung!$D$2</f>
        <v>6.5787280596713071E-2</v>
      </c>
      <c r="I45" s="57">
        <f>60*F45/Steuerung!$D$1</f>
        <v>1.5606949387102367</v>
      </c>
      <c r="J45" s="103">
        <f t="shared" si="3"/>
        <v>0</v>
      </c>
      <c r="K45" s="57">
        <f t="shared" si="4"/>
        <v>0</v>
      </c>
      <c r="L45" s="57">
        <f t="shared" si="5"/>
        <v>0</v>
      </c>
    </row>
    <row r="46" spans="1:12">
      <c r="A46" s="64">
        <v>31</v>
      </c>
      <c r="B46" s="64">
        <v>24</v>
      </c>
      <c r="C46" s="117">
        <f t="shared" si="0"/>
        <v>24</v>
      </c>
      <c r="D46" s="103">
        <f t="shared" si="6"/>
        <v>0.17509693402381901</v>
      </c>
      <c r="E46" s="103">
        <f t="shared" si="1"/>
        <v>491.76354622607761</v>
      </c>
      <c r="F46" s="103">
        <f t="shared" si="2"/>
        <v>78.2564522956839</v>
      </c>
      <c r="G46" s="118">
        <f>C46/Steuerung!$D$4</f>
        <v>1</v>
      </c>
      <c r="H46" s="103">
        <f>D46/Steuerung!$D$2</f>
        <v>5.8365644674606337E-2</v>
      </c>
      <c r="I46" s="57">
        <f>60*F46/Steuerung!$D$1</f>
        <v>1.565129045913678</v>
      </c>
      <c r="J46" s="103">
        <f t="shared" si="3"/>
        <v>0</v>
      </c>
      <c r="K46" s="57">
        <f t="shared" si="4"/>
        <v>0</v>
      </c>
      <c r="L46" s="57">
        <f t="shared" si="5"/>
        <v>0</v>
      </c>
    </row>
    <row r="47" spans="1:12">
      <c r="A47" s="64">
        <v>32</v>
      </c>
      <c r="B47" s="64">
        <v>24</v>
      </c>
      <c r="C47" s="117">
        <f t="shared" si="0"/>
        <v>24</v>
      </c>
      <c r="D47" s="103">
        <f t="shared" si="6"/>
        <v>0.15534378898400419</v>
      </c>
      <c r="E47" s="103">
        <f t="shared" si="1"/>
        <v>492.99957255472179</v>
      </c>
      <c r="F47" s="103">
        <f t="shared" si="2"/>
        <v>78.453146491839874</v>
      </c>
      <c r="G47" s="118">
        <f>C47/Steuerung!$D$4</f>
        <v>1</v>
      </c>
      <c r="H47" s="103">
        <f>D47/Steuerung!$D$2</f>
        <v>5.1781262994668065E-2</v>
      </c>
      <c r="I47" s="57">
        <f>60*F47/Steuerung!$D$1</f>
        <v>1.5690629298367975</v>
      </c>
      <c r="J47" s="103">
        <f t="shared" si="3"/>
        <v>0</v>
      </c>
      <c r="K47" s="57">
        <f t="shared" si="4"/>
        <v>0</v>
      </c>
      <c r="L47" s="57">
        <f t="shared" si="5"/>
        <v>0</v>
      </c>
    </row>
    <row r="48" spans="1:12">
      <c r="A48" s="64">
        <v>33</v>
      </c>
      <c r="B48" s="64">
        <v>24</v>
      </c>
      <c r="C48" s="117">
        <f t="shared" si="0"/>
        <v>24</v>
      </c>
      <c r="D48" s="103">
        <f t="shared" si="6"/>
        <v>0.1378190481200777</v>
      </c>
      <c r="E48" s="103">
        <f t="shared" si="1"/>
        <v>494.09615950666387</v>
      </c>
      <c r="F48" s="103">
        <f t="shared" si="2"/>
        <v>78.627651099087188</v>
      </c>
      <c r="G48" s="118">
        <f>C48/Steuerung!$D$4</f>
        <v>1</v>
      </c>
      <c r="H48" s="103">
        <f>D48/Steuerung!$D$2</f>
        <v>4.5939682706692568E-2</v>
      </c>
      <c r="I48" s="57">
        <f>60*F48/Steuerung!$D$1</f>
        <v>1.5725530219817438</v>
      </c>
      <c r="J48" s="103">
        <f t="shared" si="3"/>
        <v>0</v>
      </c>
      <c r="K48" s="57">
        <f t="shared" si="4"/>
        <v>0</v>
      </c>
      <c r="L48" s="57">
        <f t="shared" si="5"/>
        <v>0</v>
      </c>
    </row>
    <row r="49" spans="1:12">
      <c r="A49" s="64">
        <v>34</v>
      </c>
      <c r="B49" s="64">
        <v>24</v>
      </c>
      <c r="C49" s="117">
        <f t="shared" si="0"/>
        <v>24</v>
      </c>
      <c r="D49" s="103">
        <f t="shared" si="6"/>
        <v>0.12227131930379302</v>
      </c>
      <c r="E49" s="103">
        <f t="shared" si="1"/>
        <v>495.06903760424336</v>
      </c>
      <c r="F49" s="103">
        <f t="shared" si="2"/>
        <v>78.782469383234144</v>
      </c>
      <c r="G49" s="118">
        <f>C49/Steuerung!$D$4</f>
        <v>1</v>
      </c>
      <c r="H49" s="103">
        <f>D49/Steuerung!$D$2</f>
        <v>4.0757106434597672E-2</v>
      </c>
      <c r="I49" s="57">
        <f>60*F49/Steuerung!$D$1</f>
        <v>1.5756493876646827</v>
      </c>
      <c r="J49" s="103">
        <f t="shared" si="3"/>
        <v>0</v>
      </c>
      <c r="K49" s="57">
        <f t="shared" si="4"/>
        <v>0</v>
      </c>
      <c r="L49" s="57">
        <f t="shared" si="5"/>
        <v>0</v>
      </c>
    </row>
    <row r="50" spans="1:12">
      <c r="A50" s="64">
        <v>35</v>
      </c>
      <c r="B50" s="64">
        <v>24</v>
      </c>
      <c r="C50" s="117">
        <f t="shared" si="0"/>
        <v>24</v>
      </c>
      <c r="D50" s="103">
        <f t="shared" si="6"/>
        <v>0.10847757061320309</v>
      </c>
      <c r="E50" s="103">
        <f t="shared" si="1"/>
        <v>495.93216276825677</v>
      </c>
      <c r="F50" s="103">
        <f t="shared" si="2"/>
        <v>78.919822210098147</v>
      </c>
      <c r="G50" s="118">
        <f>C50/Steuerung!$D$4</f>
        <v>1</v>
      </c>
      <c r="H50" s="103">
        <f>D50/Steuerung!$D$2</f>
        <v>3.6159190204401032E-2</v>
      </c>
      <c r="I50" s="57">
        <f>60*F50/Steuerung!$D$1</f>
        <v>1.5783964442019629</v>
      </c>
      <c r="J50" s="103">
        <f t="shared" si="3"/>
        <v>0</v>
      </c>
      <c r="K50" s="57">
        <f t="shared" si="4"/>
        <v>0</v>
      </c>
      <c r="L50" s="57">
        <f t="shared" si="5"/>
        <v>0</v>
      </c>
    </row>
    <row r="51" spans="1:12">
      <c r="A51" s="64">
        <v>36</v>
      </c>
      <c r="B51" s="64">
        <v>24</v>
      </c>
      <c r="C51" s="117">
        <f t="shared" si="0"/>
        <v>24</v>
      </c>
      <c r="D51" s="103">
        <f t="shared" si="6"/>
        <v>9.6239930943293278E-2</v>
      </c>
      <c r="E51" s="103">
        <f t="shared" si="1"/>
        <v>496.69791651541857</v>
      </c>
      <c r="F51" s="103">
        <f t="shared" si="2"/>
        <v>79.041679903790353</v>
      </c>
      <c r="G51" s="118">
        <f>C51/Steuerung!$D$4</f>
        <v>1</v>
      </c>
      <c r="H51" s="103">
        <f>D51/Steuerung!$D$2</f>
        <v>3.2079976981097762E-2</v>
      </c>
      <c r="I51" s="57">
        <f>60*F51/Steuerung!$D$1</f>
        <v>1.5808335980758073</v>
      </c>
      <c r="J51" s="103">
        <f t="shared" si="3"/>
        <v>0</v>
      </c>
      <c r="K51" s="57">
        <f t="shared" si="4"/>
        <v>0</v>
      </c>
      <c r="L51" s="57">
        <f t="shared" si="5"/>
        <v>0</v>
      </c>
    </row>
    <row r="52" spans="1:12">
      <c r="A52" s="64">
        <v>37</v>
      </c>
      <c r="B52" s="64">
        <v>24</v>
      </c>
      <c r="C52" s="117">
        <f t="shared" si="0"/>
        <v>24</v>
      </c>
      <c r="D52" s="103">
        <f t="shared" si="6"/>
        <v>8.5382851548139099E-2</v>
      </c>
      <c r="E52" s="103">
        <f t="shared" si="1"/>
        <v>497.37728357102122</v>
      </c>
      <c r="F52" s="103">
        <f t="shared" si="2"/>
        <v>79.149790510983649</v>
      </c>
      <c r="G52" s="118">
        <f>C52/Steuerung!$D$4</f>
        <v>1</v>
      </c>
      <c r="H52" s="103">
        <f>D52/Steuerung!$D$2</f>
        <v>2.8460950516046368E-2</v>
      </c>
      <c r="I52" s="57">
        <f>60*F52/Steuerung!$D$1</f>
        <v>1.5829958102196731</v>
      </c>
      <c r="J52" s="103">
        <f t="shared" si="3"/>
        <v>0</v>
      </c>
      <c r="K52" s="57">
        <f t="shared" si="4"/>
        <v>0</v>
      </c>
      <c r="L52" s="57">
        <f t="shared" si="5"/>
        <v>0</v>
      </c>
    </row>
    <row r="53" spans="1:12">
      <c r="A53" s="64">
        <v>38</v>
      </c>
      <c r="B53" s="64">
        <v>24</v>
      </c>
      <c r="C53" s="117">
        <f t="shared" si="0"/>
        <v>24</v>
      </c>
      <c r="D53" s="103">
        <f t="shared" si="6"/>
        <v>7.5750587796941798E-2</v>
      </c>
      <c r="E53" s="103">
        <f t="shared" si="1"/>
        <v>497.98000944464422</v>
      </c>
      <c r="F53" s="103">
        <f t="shared" si="2"/>
        <v>79.245704876614298</v>
      </c>
      <c r="G53" s="118">
        <f>C53/Steuerung!$D$4</f>
        <v>1</v>
      </c>
      <c r="H53" s="103">
        <f>D53/Steuerung!$D$2</f>
        <v>2.5250195932313934E-2</v>
      </c>
      <c r="I53" s="57">
        <f>60*F53/Steuerung!$D$1</f>
        <v>1.584914097532286</v>
      </c>
      <c r="J53" s="103">
        <f t="shared" si="3"/>
        <v>0</v>
      </c>
      <c r="K53" s="57">
        <f t="shared" si="4"/>
        <v>0</v>
      </c>
      <c r="L53" s="57">
        <f t="shared" si="5"/>
        <v>0</v>
      </c>
    </row>
    <row r="54" spans="1:12">
      <c r="A54" s="64">
        <v>39</v>
      </c>
      <c r="B54" s="64">
        <v>24</v>
      </c>
      <c r="C54" s="117">
        <f t="shared" si="0"/>
        <v>24</v>
      </c>
      <c r="D54" s="103">
        <f t="shared" si="6"/>
        <v>6.720496501978547E-2</v>
      </c>
      <c r="E54" s="103">
        <f t="shared" si="1"/>
        <v>498.51474022933382</v>
      </c>
      <c r="F54" s="103">
        <f t="shared" si="2"/>
        <v>79.330798890727849</v>
      </c>
      <c r="G54" s="118">
        <f>C54/Steuerung!$D$4</f>
        <v>1</v>
      </c>
      <c r="H54" s="103">
        <f>D54/Steuerung!$D$2</f>
        <v>2.2401655006595158E-2</v>
      </c>
      <c r="I54" s="57">
        <f>60*F54/Steuerung!$D$1</f>
        <v>1.5866159778145568</v>
      </c>
      <c r="J54" s="103">
        <f t="shared" si="3"/>
        <v>0</v>
      </c>
      <c r="K54" s="57">
        <f t="shared" si="4"/>
        <v>0</v>
      </c>
      <c r="L54" s="57">
        <f t="shared" si="5"/>
        <v>0</v>
      </c>
    </row>
    <row r="55" spans="1:12">
      <c r="A55" s="64">
        <v>40</v>
      </c>
      <c r="B55" s="64">
        <v>24</v>
      </c>
      <c r="C55" s="117">
        <f t="shared" si="0"/>
        <v>24</v>
      </c>
      <c r="D55" s="103">
        <f t="shared" si="6"/>
        <v>5.9623396394198142E-2</v>
      </c>
      <c r="E55" s="103">
        <f t="shared" si="1"/>
        <v>498.98914662966956</v>
      </c>
      <c r="F55" s="103">
        <f t="shared" si="2"/>
        <v>79.406293225599867</v>
      </c>
      <c r="G55" s="118">
        <f>C55/Steuerung!$D$4</f>
        <v>1</v>
      </c>
      <c r="H55" s="103">
        <f>D55/Steuerung!$D$2</f>
        <v>1.9874465464732715E-2</v>
      </c>
      <c r="I55" s="57">
        <f>60*F55/Steuerung!$D$1</f>
        <v>1.5881258645119973</v>
      </c>
      <c r="J55" s="103">
        <f t="shared" si="3"/>
        <v>0</v>
      </c>
      <c r="K55" s="57">
        <f t="shared" si="4"/>
        <v>0</v>
      </c>
      <c r="L55" s="57">
        <f t="shared" si="5"/>
        <v>0</v>
      </c>
    </row>
    <row r="56" spans="1:12">
      <c r="A56" s="64">
        <v>41</v>
      </c>
      <c r="B56" s="64">
        <v>24</v>
      </c>
      <c r="C56" s="117">
        <f t="shared" si="0"/>
        <v>24</v>
      </c>
      <c r="D56" s="103">
        <f t="shared" si="6"/>
        <v>5.2897124439140117E-2</v>
      </c>
      <c r="E56" s="103">
        <f t="shared" si="1"/>
        <v>499.41003399789952</v>
      </c>
      <c r="F56" s="103">
        <f t="shared" si="2"/>
        <v>79.473270846260263</v>
      </c>
      <c r="G56" s="118">
        <f>C56/Steuerung!$D$4</f>
        <v>1</v>
      </c>
      <c r="H56" s="103">
        <f>D56/Steuerung!$D$2</f>
        <v>1.7632374813046706E-2</v>
      </c>
      <c r="I56" s="57">
        <f>60*F56/Steuerung!$D$1</f>
        <v>1.5894654169252054</v>
      </c>
      <c r="J56" s="103">
        <f t="shared" si="3"/>
        <v>0</v>
      </c>
      <c r="K56" s="57">
        <f t="shared" si="4"/>
        <v>0</v>
      </c>
      <c r="L56" s="57">
        <f t="shared" si="5"/>
        <v>0</v>
      </c>
    </row>
    <row r="57" spans="1:12">
      <c r="A57" s="64">
        <v>42</v>
      </c>
      <c r="B57" s="64">
        <v>24</v>
      </c>
      <c r="C57" s="117">
        <f t="shared" si="0"/>
        <v>24</v>
      </c>
      <c r="D57" s="103">
        <f t="shared" si="6"/>
        <v>4.6929660890673686E-2</v>
      </c>
      <c r="E57" s="103">
        <f t="shared" si="1"/>
        <v>499.78343995660953</v>
      </c>
      <c r="F57" s="103">
        <f t="shared" si="2"/>
        <v>79.532692545609407</v>
      </c>
      <c r="G57" s="118">
        <f>C57/Steuerung!$D$4</f>
        <v>1</v>
      </c>
      <c r="H57" s="103">
        <f>D57/Steuerung!$D$2</f>
        <v>1.564322029689123E-2</v>
      </c>
      <c r="I57" s="57">
        <f>60*F57/Steuerung!$D$1</f>
        <v>1.5906538509121879</v>
      </c>
      <c r="J57" s="103">
        <f t="shared" si="3"/>
        <v>0</v>
      </c>
      <c r="K57" s="57">
        <f t="shared" si="4"/>
        <v>0</v>
      </c>
      <c r="L57" s="57">
        <f t="shared" si="5"/>
        <v>0</v>
      </c>
    </row>
    <row r="58" spans="1:12">
      <c r="A58" s="64">
        <v>43</v>
      </c>
      <c r="B58" s="64">
        <v>24</v>
      </c>
      <c r="C58" s="117">
        <f t="shared" si="0"/>
        <v>24</v>
      </c>
      <c r="D58" s="103">
        <f t="shared" si="6"/>
        <v>4.1635402579350063E-2</v>
      </c>
      <c r="E58" s="103">
        <f t="shared" si="1"/>
        <v>500.11472100832299</v>
      </c>
      <c r="F58" s="103">
        <f t="shared" si="2"/>
        <v>79.585410726976932</v>
      </c>
      <c r="G58" s="118">
        <f>C58/Steuerung!$D$4</f>
        <v>1</v>
      </c>
      <c r="H58" s="103">
        <f>D58/Steuerung!$D$2</f>
        <v>1.3878467526450021E-2</v>
      </c>
      <c r="I58" s="57">
        <f>60*F58/Steuerung!$D$1</f>
        <v>1.5917082145395385</v>
      </c>
      <c r="J58" s="103">
        <f t="shared" si="3"/>
        <v>0</v>
      </c>
      <c r="K58" s="57">
        <f t="shared" si="4"/>
        <v>0</v>
      </c>
      <c r="L58" s="57">
        <f t="shared" si="5"/>
        <v>0</v>
      </c>
    </row>
    <row r="59" spans="1:12">
      <c r="A59" s="64">
        <v>44</v>
      </c>
      <c r="B59" s="64">
        <v>24</v>
      </c>
      <c r="C59" s="117">
        <f t="shared" si="0"/>
        <v>24</v>
      </c>
      <c r="D59" s="103">
        <f t="shared" si="6"/>
        <v>3.6938403454116066E-2</v>
      </c>
      <c r="E59" s="103">
        <f t="shared" si="1"/>
        <v>500.40862937444422</v>
      </c>
      <c r="F59" s="103">
        <f t="shared" si="2"/>
        <v>79.632181631833902</v>
      </c>
      <c r="G59" s="118">
        <f>C59/Steuerung!$D$4</f>
        <v>1</v>
      </c>
      <c r="H59" s="103">
        <f>D59/Steuerung!$D$2</f>
        <v>1.2312801151372023E-2</v>
      </c>
      <c r="I59" s="57">
        <f>60*F59/Steuerung!$D$1</f>
        <v>1.592643632636678</v>
      </c>
      <c r="J59" s="103">
        <f t="shared" si="3"/>
        <v>0</v>
      </c>
      <c r="K59" s="57">
        <f t="shared" si="4"/>
        <v>0</v>
      </c>
      <c r="L59" s="57">
        <f t="shared" si="5"/>
        <v>0</v>
      </c>
    </row>
    <row r="60" spans="1:12">
      <c r="A60" s="64">
        <v>45</v>
      </c>
      <c r="B60" s="64">
        <v>24</v>
      </c>
      <c r="C60" s="117">
        <f t="shared" si="0"/>
        <v>24</v>
      </c>
      <c r="D60" s="103">
        <f t="shared" si="6"/>
        <v>3.2771285137418289E-2</v>
      </c>
      <c r="E60" s="103">
        <f t="shared" si="1"/>
        <v>500.6693811657986</v>
      </c>
      <c r="F60" s="103">
        <f t="shared" si="2"/>
        <v>79.673676188064704</v>
      </c>
      <c r="G60" s="118">
        <f>C60/Steuerung!$D$4</f>
        <v>1</v>
      </c>
      <c r="H60" s="103">
        <f>D60/Steuerung!$D$2</f>
        <v>1.0923761712472764E-2</v>
      </c>
      <c r="I60" s="57">
        <f>60*F60/Steuerung!$D$1</f>
        <v>1.593473523761294</v>
      </c>
      <c r="J60" s="103">
        <f t="shared" si="3"/>
        <v>0</v>
      </c>
      <c r="K60" s="57">
        <f t="shared" si="4"/>
        <v>0</v>
      </c>
      <c r="L60" s="57">
        <f t="shared" si="5"/>
        <v>0</v>
      </c>
    </row>
    <row r="61" spans="1:12">
      <c r="A61" s="64">
        <v>46</v>
      </c>
      <c r="B61" s="64">
        <v>24</v>
      </c>
      <c r="C61" s="117">
        <f t="shared" si="0"/>
        <v>24</v>
      </c>
      <c r="D61" s="103">
        <f t="shared" si="6"/>
        <v>2.9074270383450371E-2</v>
      </c>
      <c r="E61" s="103">
        <f t="shared" si="1"/>
        <v>500.90071686267521</v>
      </c>
      <c r="F61" s="103">
        <f t="shared" si="2"/>
        <v>79.710489634416803</v>
      </c>
      <c r="G61" s="118">
        <f>C61/Steuerung!$D$4</f>
        <v>1</v>
      </c>
      <c r="H61" s="103">
        <f>D61/Steuerung!$D$2</f>
        <v>9.6914234611501244E-3</v>
      </c>
      <c r="I61" s="57">
        <f>60*F61/Steuerung!$D$1</f>
        <v>1.5942097926883361</v>
      </c>
      <c r="J61" s="103">
        <f t="shared" si="3"/>
        <v>0</v>
      </c>
      <c r="K61" s="57">
        <f t="shared" si="4"/>
        <v>0</v>
      </c>
      <c r="L61" s="57">
        <f t="shared" si="5"/>
        <v>0</v>
      </c>
    </row>
    <row r="62" spans="1:12">
      <c r="A62" s="64">
        <v>47</v>
      </c>
      <c r="B62" s="64">
        <v>24</v>
      </c>
      <c r="C62" s="117">
        <f t="shared" si="0"/>
        <v>24</v>
      </c>
      <c r="D62" s="103">
        <f t="shared" si="6"/>
        <v>2.5794325574519782E-2</v>
      </c>
      <c r="E62" s="103">
        <f t="shared" si="1"/>
        <v>501.10595497195686</v>
      </c>
      <c r="F62" s="103">
        <f t="shared" si="2"/>
        <v>79.743150059191095</v>
      </c>
      <c r="G62" s="118">
        <f>C62/Steuerung!$D$4</f>
        <v>1</v>
      </c>
      <c r="H62" s="103">
        <f>D62/Steuerung!$D$2</f>
        <v>8.5981085248399269E-3</v>
      </c>
      <c r="I62" s="57">
        <f>60*F62/Steuerung!$D$1</f>
        <v>1.5948630011838218</v>
      </c>
      <c r="J62" s="103">
        <f t="shared" si="3"/>
        <v>0</v>
      </c>
      <c r="K62" s="57">
        <f t="shared" si="4"/>
        <v>0</v>
      </c>
      <c r="L62" s="57">
        <f t="shared" si="5"/>
        <v>0</v>
      </c>
    </row>
    <row r="63" spans="1:12">
      <c r="A63" s="64">
        <v>48</v>
      </c>
      <c r="B63" s="64">
        <v>24</v>
      </c>
      <c r="C63" s="117">
        <f t="shared" si="0"/>
        <v>24</v>
      </c>
      <c r="D63" s="103">
        <f t="shared" si="6"/>
        <v>2.2884399954643045E-2</v>
      </c>
      <c r="E63" s="103">
        <f t="shared" si="1"/>
        <v>501.28803963104855</v>
      </c>
      <c r="F63" s="103">
        <f t="shared" si="2"/>
        <v>79.772125975660174</v>
      </c>
      <c r="G63" s="118">
        <f>C63/Steuerung!$D$4</f>
        <v>1</v>
      </c>
      <c r="H63" s="103">
        <f>D63/Steuerung!$D$2</f>
        <v>7.6281333182143486E-3</v>
      </c>
      <c r="I63" s="57">
        <f>60*F63/Steuerung!$D$1</f>
        <v>1.5954425195132034</v>
      </c>
      <c r="J63" s="103">
        <f t="shared" si="3"/>
        <v>0</v>
      </c>
      <c r="K63" s="57">
        <f t="shared" si="4"/>
        <v>0</v>
      </c>
      <c r="L63" s="57">
        <f t="shared" si="5"/>
        <v>0</v>
      </c>
    </row>
    <row r="64" spans="1:12">
      <c r="A64" s="64">
        <v>49</v>
      </c>
      <c r="B64" s="64">
        <v>24</v>
      </c>
      <c r="C64" s="117">
        <f t="shared" si="0"/>
        <v>24</v>
      </c>
      <c r="D64" s="103">
        <f t="shared" si="6"/>
        <v>2.030275068720553E-2</v>
      </c>
      <c r="E64" s="103">
        <f t="shared" si="1"/>
        <v>501.44958284148146</v>
      </c>
      <c r="F64" s="103">
        <f t="shared" si="2"/>
        <v>79.797833042883752</v>
      </c>
      <c r="G64" s="118">
        <f>C64/Steuerung!$D$4</f>
        <v>1</v>
      </c>
      <c r="H64" s="103">
        <f>D64/Steuerung!$D$2</f>
        <v>6.7675835624018436E-3</v>
      </c>
      <c r="I64" s="57">
        <f>60*F64/Steuerung!$D$1</f>
        <v>1.5959566608576752</v>
      </c>
      <c r="J64" s="103">
        <f t="shared" si="3"/>
        <v>0</v>
      </c>
      <c r="K64" s="57">
        <f t="shared" si="4"/>
        <v>0</v>
      </c>
      <c r="L64" s="57">
        <f t="shared" si="5"/>
        <v>0</v>
      </c>
    </row>
    <row r="65" spans="1:12">
      <c r="A65" s="64">
        <v>50</v>
      </c>
      <c r="B65" s="64">
        <v>24</v>
      </c>
      <c r="C65" s="117">
        <f t="shared" si="0"/>
        <v>24</v>
      </c>
      <c r="D65" s="103">
        <f t="shared" si="6"/>
        <v>1.8012344054630494E-2</v>
      </c>
      <c r="E65" s="103">
        <f t="shared" si="1"/>
        <v>501.59290193803326</v>
      </c>
      <c r="F65" s="103">
        <f t="shared" si="2"/>
        <v>79.820640028331198</v>
      </c>
      <c r="G65" s="118">
        <f>C65/Steuerung!$D$4</f>
        <v>1</v>
      </c>
      <c r="H65" s="103">
        <f>D65/Steuerung!$D$2</f>
        <v>6.0041146848768311E-3</v>
      </c>
      <c r="I65" s="57">
        <f>60*F65/Steuerung!$D$1</f>
        <v>1.596412800566624</v>
      </c>
      <c r="J65" s="103">
        <f t="shared" si="3"/>
        <v>0</v>
      </c>
      <c r="K65" s="57">
        <f t="shared" si="4"/>
        <v>0</v>
      </c>
      <c r="L65" s="57">
        <f t="shared" si="5"/>
        <v>0</v>
      </c>
    </row>
    <row r="66" spans="1:12">
      <c r="A66" s="64">
        <v>51</v>
      </c>
      <c r="B66" s="64">
        <v>24</v>
      </c>
      <c r="C66" s="117">
        <f t="shared" si="0"/>
        <v>24</v>
      </c>
      <c r="D66" s="103">
        <f t="shared" si="6"/>
        <v>1.598032421029856E-2</v>
      </c>
      <c r="E66" s="103">
        <f t="shared" si="1"/>
        <v>501.72005283085866</v>
      </c>
      <c r="F66" s="103">
        <f t="shared" si="2"/>
        <v>79.840874097845116</v>
      </c>
      <c r="G66" s="118">
        <f>C66/Steuerung!$D$4</f>
        <v>1</v>
      </c>
      <c r="H66" s="103">
        <f>D66/Steuerung!$D$2</f>
        <v>5.3267747367661865E-3</v>
      </c>
      <c r="I66" s="57">
        <f>60*F66/Steuerung!$D$1</f>
        <v>1.5968174819569025</v>
      </c>
      <c r="J66" s="103">
        <f t="shared" si="3"/>
        <v>0</v>
      </c>
      <c r="K66" s="57">
        <f t="shared" si="4"/>
        <v>0</v>
      </c>
      <c r="L66" s="57">
        <f t="shared" si="5"/>
        <v>0</v>
      </c>
    </row>
    <row r="67" spans="1:12">
      <c r="A67" s="64">
        <v>52</v>
      </c>
      <c r="B67" s="64">
        <v>24</v>
      </c>
      <c r="C67" s="117">
        <f t="shared" si="0"/>
        <v>24</v>
      </c>
      <c r="D67" s="103">
        <f t="shared" si="6"/>
        <v>1.4177541861943217E-2</v>
      </c>
      <c r="E67" s="103">
        <f t="shared" si="1"/>
        <v>501.83285949748773</v>
      </c>
      <c r="F67" s="103">
        <f t="shared" si="2"/>
        <v>79.858825508830009</v>
      </c>
      <c r="G67" s="118">
        <f>C67/Steuerung!$D$4</f>
        <v>1</v>
      </c>
      <c r="H67" s="103">
        <f>D67/Steuerung!$D$2</f>
        <v>4.7258472873144058E-3</v>
      </c>
      <c r="I67" s="57">
        <f>60*F67/Steuerung!$D$1</f>
        <v>1.5971765101766002</v>
      </c>
      <c r="J67" s="103">
        <f t="shared" si="3"/>
        <v>0</v>
      </c>
      <c r="K67" s="57">
        <f t="shared" si="4"/>
        <v>0</v>
      </c>
      <c r="L67" s="57">
        <f t="shared" si="5"/>
        <v>0</v>
      </c>
    </row>
    <row r="68" spans="1:12">
      <c r="A68" s="64">
        <v>53</v>
      </c>
      <c r="B68" s="64">
        <v>24</v>
      </c>
      <c r="C68" s="117">
        <f t="shared" si="0"/>
        <v>24</v>
      </c>
      <c r="D68" s="103">
        <f t="shared" si="6"/>
        <v>1.2578136125525408E-2</v>
      </c>
      <c r="E68" s="103">
        <f t="shared" si="1"/>
        <v>501.93294014775449</v>
      </c>
      <c r="F68" s="103">
        <f t="shared" si="2"/>
        <v>79.874751773990212</v>
      </c>
      <c r="G68" s="118">
        <f>C68/Steuerung!$D$4</f>
        <v>1</v>
      </c>
      <c r="H68" s="103">
        <f>D68/Steuerung!$D$2</f>
        <v>4.1927120418418029E-3</v>
      </c>
      <c r="I68" s="57">
        <f>60*F68/Steuerung!$D$1</f>
        <v>1.5974950354798041</v>
      </c>
      <c r="J68" s="103">
        <f t="shared" si="3"/>
        <v>0</v>
      </c>
      <c r="K68" s="57">
        <f t="shared" si="4"/>
        <v>0</v>
      </c>
      <c r="L68" s="57">
        <f t="shared" si="5"/>
        <v>0</v>
      </c>
    </row>
    <row r="69" spans="1:12">
      <c r="A69" s="64">
        <v>54</v>
      </c>
      <c r="B69" s="64">
        <v>24</v>
      </c>
      <c r="C69" s="117">
        <f t="shared" si="0"/>
        <v>24</v>
      </c>
      <c r="D69" s="103">
        <f t="shared" si="6"/>
        <v>1.1159163551257343E-2</v>
      </c>
      <c r="E69" s="103">
        <f t="shared" si="1"/>
        <v>502.02173043699111</v>
      </c>
      <c r="F69" s="103">
        <f t="shared" si="2"/>
        <v>79.888881355345504</v>
      </c>
      <c r="G69" s="118">
        <f>C69/Steuerung!$D$4</f>
        <v>1</v>
      </c>
      <c r="H69" s="103">
        <f>D69/Steuerung!$D$2</f>
        <v>3.7197211837524478E-3</v>
      </c>
      <c r="I69" s="57">
        <f>60*F69/Steuerung!$D$1</f>
        <v>1.59777762710691</v>
      </c>
      <c r="J69" s="103">
        <f t="shared" si="3"/>
        <v>0</v>
      </c>
      <c r="K69" s="57">
        <f t="shared" si="4"/>
        <v>0</v>
      </c>
      <c r="L69" s="57">
        <f t="shared" si="5"/>
        <v>0</v>
      </c>
    </row>
    <row r="70" spans="1:12">
      <c r="A70" s="64">
        <v>55</v>
      </c>
      <c r="B70" s="64">
        <v>24</v>
      </c>
      <c r="C70" s="117">
        <f t="shared" si="0"/>
        <v>24</v>
      </c>
      <c r="D70" s="103">
        <f t="shared" si="6"/>
        <v>9.9002690001919764E-3</v>
      </c>
      <c r="E70" s="103">
        <f t="shared" si="1"/>
        <v>502.10050406048083</v>
      </c>
      <c r="F70" s="103">
        <f t="shared" si="2"/>
        <v>79.901416941515095</v>
      </c>
      <c r="G70" s="118">
        <f>C70/Steuerung!$D$4</f>
        <v>1</v>
      </c>
      <c r="H70" s="103">
        <f>D70/Steuerung!$D$2</f>
        <v>3.3000896667306589E-3</v>
      </c>
      <c r="I70" s="57">
        <f>60*F70/Steuerung!$D$1</f>
        <v>1.598028338830302</v>
      </c>
      <c r="J70" s="103">
        <f t="shared" si="3"/>
        <v>0</v>
      </c>
      <c r="K70" s="57">
        <f t="shared" si="4"/>
        <v>0</v>
      </c>
      <c r="L70" s="57">
        <f t="shared" si="5"/>
        <v>0</v>
      </c>
    </row>
    <row r="71" spans="1:12">
      <c r="A71" s="64">
        <v>56</v>
      </c>
      <c r="B71" s="64">
        <v>24</v>
      </c>
      <c r="C71" s="117">
        <f t="shared" si="0"/>
        <v>24</v>
      </c>
      <c r="D71" s="103">
        <f t="shared" si="6"/>
        <v>8.7833936500648219E-3</v>
      </c>
      <c r="E71" s="103">
        <f t="shared" si="1"/>
        <v>502.17039102459654</v>
      </c>
      <c r="F71" s="103">
        <f t="shared" si="2"/>
        <v>79.912538355282706</v>
      </c>
      <c r="G71" s="118">
        <f>C71/Steuerung!$D$4</f>
        <v>1</v>
      </c>
      <c r="H71" s="103">
        <f>D71/Steuerung!$D$2</f>
        <v>2.9277978833549406E-3</v>
      </c>
      <c r="I71" s="57">
        <f>60*F71/Steuerung!$D$1</f>
        <v>1.5982507671056541</v>
      </c>
      <c r="J71" s="103">
        <f t="shared" si="3"/>
        <v>0</v>
      </c>
      <c r="K71" s="57">
        <f t="shared" si="4"/>
        <v>0</v>
      </c>
      <c r="L71" s="57">
        <f t="shared" si="5"/>
        <v>0</v>
      </c>
    </row>
    <row r="72" spans="1:12">
      <c r="A72" s="64">
        <v>57</v>
      </c>
      <c r="B72" s="64">
        <v>24</v>
      </c>
      <c r="C72" s="117">
        <f t="shared" si="0"/>
        <v>24</v>
      </c>
      <c r="D72" s="103">
        <f t="shared" si="6"/>
        <v>7.7925159417906679E-3</v>
      </c>
      <c r="E72" s="103">
        <f t="shared" si="1"/>
        <v>502.23239385672412</v>
      </c>
      <c r="F72" s="103">
        <f t="shared" si="2"/>
        <v>79.922405133151514</v>
      </c>
      <c r="G72" s="118">
        <f>C72/Steuerung!$D$4</f>
        <v>1</v>
      </c>
      <c r="H72" s="103">
        <f>D72/Steuerung!$D$2</f>
        <v>2.5975053139302225E-3</v>
      </c>
      <c r="I72" s="57">
        <f>60*F72/Steuerung!$D$1</f>
        <v>1.5984481026630304</v>
      </c>
      <c r="J72" s="103">
        <f t="shared" si="3"/>
        <v>0</v>
      </c>
      <c r="K72" s="57">
        <f t="shared" si="4"/>
        <v>0</v>
      </c>
      <c r="L72" s="57">
        <f t="shared" si="5"/>
        <v>0</v>
      </c>
    </row>
    <row r="73" spans="1:12">
      <c r="A73" s="64">
        <v>58</v>
      </c>
      <c r="B73" s="64">
        <v>24</v>
      </c>
      <c r="C73" s="117">
        <f t="shared" si="0"/>
        <v>24</v>
      </c>
      <c r="D73" s="103">
        <f t="shared" si="6"/>
        <v>6.913421750441252E-3</v>
      </c>
      <c r="E73" s="103">
        <f t="shared" si="1"/>
        <v>502.28740198650166</v>
      </c>
      <c r="F73" s="103">
        <f t="shared" si="2"/>
        <v>79.931158813892694</v>
      </c>
      <c r="G73" s="118">
        <f>C73/Steuerung!$D$4</f>
        <v>1</v>
      </c>
      <c r="H73" s="103">
        <f>D73/Steuerung!$D$2</f>
        <v>2.3044739168137508E-3</v>
      </c>
      <c r="I73" s="57">
        <f>60*F73/Steuerung!$D$1</f>
        <v>1.598623176277854</v>
      </c>
      <c r="J73" s="103">
        <f t="shared" si="3"/>
        <v>0</v>
      </c>
      <c r="K73" s="57">
        <f t="shared" si="4"/>
        <v>0</v>
      </c>
      <c r="L73" s="57">
        <f t="shared" si="5"/>
        <v>0</v>
      </c>
    </row>
    <row r="74" spans="1:12">
      <c r="A74" s="64">
        <v>59</v>
      </c>
      <c r="B74" s="64">
        <v>24</v>
      </c>
      <c r="C74" s="117">
        <f t="shared" si="0"/>
        <v>24</v>
      </c>
      <c r="D74" s="103">
        <f t="shared" si="6"/>
        <v>6.1335004838631033E-3</v>
      </c>
      <c r="E74" s="103">
        <f t="shared" si="1"/>
        <v>502.33620450467373</v>
      </c>
      <c r="F74" s="103">
        <f t="shared" si="2"/>
        <v>79.938924968916893</v>
      </c>
      <c r="G74" s="118">
        <f>C74/Steuerung!$D$4</f>
        <v>1</v>
      </c>
      <c r="H74" s="103">
        <f>D74/Steuerung!$D$2</f>
        <v>2.044500161287701E-3</v>
      </c>
      <c r="I74" s="57">
        <f>60*F74/Steuerung!$D$1</f>
        <v>1.598778499378338</v>
      </c>
      <c r="J74" s="103">
        <f t="shared" si="3"/>
        <v>0</v>
      </c>
      <c r="K74" s="57">
        <f t="shared" si="4"/>
        <v>0</v>
      </c>
      <c r="L74" s="57">
        <f t="shared" si="5"/>
        <v>0</v>
      </c>
    </row>
    <row r="75" spans="1:12">
      <c r="A75" s="64">
        <v>60</v>
      </c>
      <c r="B75" s="64">
        <v>0</v>
      </c>
      <c r="C75" s="117">
        <f t="shared" si="0"/>
        <v>0</v>
      </c>
      <c r="D75" s="103">
        <f t="shared" si="6"/>
        <v>-6.8913956925472917</v>
      </c>
      <c r="E75" s="103">
        <f t="shared" si="1"/>
        <v>447.50332980267427</v>
      </c>
      <c r="F75" s="103">
        <f t="shared" si="2"/>
        <v>71.213133323149947</v>
      </c>
      <c r="G75" s="118">
        <f>C75/Steuerung!$D$4</f>
        <v>0</v>
      </c>
      <c r="H75" s="103">
        <f>D75/Steuerung!$D$2</f>
        <v>-2.2971318975157637</v>
      </c>
      <c r="I75" s="57">
        <f>60*F75/Steuerung!$D$1</f>
        <v>1.4242626664629989</v>
      </c>
      <c r="J75" s="103">
        <f t="shared" si="3"/>
        <v>0</v>
      </c>
      <c r="K75" s="57">
        <f t="shared" si="4"/>
        <v>0</v>
      </c>
      <c r="L75" s="57">
        <f t="shared" si="5"/>
        <v>0</v>
      </c>
    </row>
    <row r="76" spans="1:12">
      <c r="A76" s="64">
        <v>61</v>
      </c>
      <c r="B76" s="64">
        <v>0</v>
      </c>
      <c r="C76" s="117">
        <f t="shared" si="0"/>
        <v>0</v>
      </c>
      <c r="D76" s="103">
        <f t="shared" si="6"/>
        <v>-6.3373541990759996</v>
      </c>
      <c r="E76" s="103">
        <f t="shared" si="1"/>
        <v>397.07880562161125</v>
      </c>
      <c r="F76" s="103">
        <f t="shared" si="2"/>
        <v>63.188861492936226</v>
      </c>
      <c r="G76" s="118">
        <f>C76/Steuerung!$D$4</f>
        <v>0</v>
      </c>
      <c r="H76" s="103">
        <f>D76/Steuerung!$D$2</f>
        <v>-2.112451399692</v>
      </c>
      <c r="I76" s="57">
        <f>60*F76/Steuerung!$D$1</f>
        <v>1.2637772298587246</v>
      </c>
      <c r="J76" s="103">
        <f t="shared" si="3"/>
        <v>0</v>
      </c>
      <c r="K76" s="57">
        <f t="shared" si="4"/>
        <v>0</v>
      </c>
      <c r="L76" s="57">
        <f t="shared" si="5"/>
        <v>0</v>
      </c>
    </row>
    <row r="77" spans="1:12">
      <c r="A77" s="64">
        <v>62</v>
      </c>
      <c r="B77" s="64">
        <v>0</v>
      </c>
      <c r="C77" s="117">
        <f t="shared" si="0"/>
        <v>0</v>
      </c>
      <c r="D77" s="103">
        <f t="shared" si="6"/>
        <v>-5.6296565958917588</v>
      </c>
      <c r="E77" s="103">
        <f t="shared" si="1"/>
        <v>352.2852299063681</v>
      </c>
      <c r="F77" s="103">
        <f t="shared" si="2"/>
        <v>56.060666757856161</v>
      </c>
      <c r="G77" s="118">
        <f>C77/Steuerung!$D$4</f>
        <v>0</v>
      </c>
      <c r="H77" s="103">
        <f>D77/Steuerung!$D$2</f>
        <v>-1.8765521986305862</v>
      </c>
      <c r="I77" s="57">
        <f>60*F77/Steuerung!$D$1</f>
        <v>1.1212133351571232</v>
      </c>
      <c r="J77" s="103">
        <f t="shared" si="3"/>
        <v>0</v>
      </c>
      <c r="K77" s="57">
        <f t="shared" si="4"/>
        <v>0</v>
      </c>
      <c r="L77" s="57">
        <f t="shared" si="5"/>
        <v>0</v>
      </c>
    </row>
    <row r="78" spans="1:12">
      <c r="A78" s="64">
        <v>63</v>
      </c>
      <c r="B78" s="64">
        <v>0</v>
      </c>
      <c r="C78" s="117">
        <f t="shared" si="0"/>
        <v>0</v>
      </c>
      <c r="D78" s="103">
        <f t="shared" si="6"/>
        <v>-4.9947946281311468</v>
      </c>
      <c r="E78" s="103">
        <f t="shared" si="1"/>
        <v>312.54307022995857</v>
      </c>
      <c r="F78" s="103">
        <f t="shared" si="2"/>
        <v>49.736325625391245</v>
      </c>
      <c r="G78" s="118">
        <f>C78/Steuerung!$D$4</f>
        <v>0</v>
      </c>
      <c r="H78" s="103">
        <f>D78/Steuerung!$D$2</f>
        <v>-1.6649315427103824</v>
      </c>
      <c r="I78" s="57">
        <f>60*F78/Steuerung!$D$1</f>
        <v>0.99472651250782484</v>
      </c>
      <c r="J78" s="103">
        <f t="shared" si="3"/>
        <v>0</v>
      </c>
      <c r="K78" s="57">
        <f t="shared" si="4"/>
        <v>0</v>
      </c>
      <c r="L78" s="57">
        <f t="shared" si="5"/>
        <v>0</v>
      </c>
    </row>
    <row r="79" spans="1:12">
      <c r="A79" s="64">
        <v>64</v>
      </c>
      <c r="B79" s="64">
        <v>0</v>
      </c>
      <c r="C79" s="117">
        <f t="shared" si="0"/>
        <v>0</v>
      </c>
      <c r="D79" s="103">
        <f t="shared" si="6"/>
        <v>-4.4313263184973204</v>
      </c>
      <c r="E79" s="103">
        <f t="shared" si="1"/>
        <v>277.28426756845857</v>
      </c>
      <c r="F79" s="103">
        <f t="shared" si="2"/>
        <v>44.125440415095255</v>
      </c>
      <c r="G79" s="118">
        <f>C79/Steuerung!$D$4</f>
        <v>0</v>
      </c>
      <c r="H79" s="103">
        <f>D79/Steuerung!$D$2</f>
        <v>-1.4771087728324401</v>
      </c>
      <c r="I79" s="57">
        <f>60*F79/Steuerung!$D$1</f>
        <v>0.88250880830190515</v>
      </c>
      <c r="J79" s="103">
        <f t="shared" si="3"/>
        <v>0</v>
      </c>
      <c r="K79" s="57">
        <f t="shared" si="4"/>
        <v>0</v>
      </c>
      <c r="L79" s="57">
        <f t="shared" si="5"/>
        <v>0</v>
      </c>
    </row>
    <row r="80" spans="1:12">
      <c r="A80" s="64">
        <v>65</v>
      </c>
      <c r="B80" s="64">
        <v>0</v>
      </c>
      <c r="C80" s="117">
        <f t="shared" ref="C80:C114" si="7">B80-J80</f>
        <v>0</v>
      </c>
      <c r="D80" s="103">
        <f t="shared" ref="D80:D114" si="8">(D79 +$O$8*C80 +$O$5*E79)/$P$10</f>
        <v>-3.9314170030152185</v>
      </c>
      <c r="E80" s="103">
        <f t="shared" ref="E80:E114" si="9">$O$6*D80+E79</f>
        <v>246.00310108997974</v>
      </c>
      <c r="F80" s="103">
        <f t="shared" ref="F80:F114" si="10">E80/$K$6</f>
        <v>39.147533591658139</v>
      </c>
      <c r="G80" s="118">
        <f>C80/Steuerung!$D$4</f>
        <v>0</v>
      </c>
      <c r="H80" s="103">
        <f>D80/Steuerung!$D$2</f>
        <v>-1.3104723343384062</v>
      </c>
      <c r="I80" s="57">
        <f>60*F80/Steuerung!$D$1</f>
        <v>0.7829506718331628</v>
      </c>
      <c r="J80" s="103">
        <f t="shared" ref="J80:J114" si="11">K80+L80</f>
        <v>0</v>
      </c>
      <c r="K80" s="57">
        <f t="shared" ref="K80:K114" si="12">$K$8*D79</f>
        <v>0</v>
      </c>
      <c r="L80" s="57">
        <f t="shared" ref="L80:L114" si="13">$K$9*E79</f>
        <v>0</v>
      </c>
    </row>
    <row r="81" spans="1:12">
      <c r="A81" s="64">
        <v>66</v>
      </c>
      <c r="B81" s="64">
        <v>0</v>
      </c>
      <c r="C81" s="117">
        <f t="shared" si="7"/>
        <v>0</v>
      </c>
      <c r="D81" s="103">
        <f t="shared" si="8"/>
        <v>-3.4879035325433145</v>
      </c>
      <c r="E81" s="103">
        <f t="shared" si="9"/>
        <v>218.25084510220671</v>
      </c>
      <c r="F81" s="103">
        <f t="shared" si="10"/>
        <v>34.731197501942511</v>
      </c>
      <c r="G81" s="118">
        <f>C81/Steuerung!$D$4</f>
        <v>0</v>
      </c>
      <c r="H81" s="103">
        <f>D81/Steuerung!$D$2</f>
        <v>-1.1626345108477716</v>
      </c>
      <c r="I81" s="57">
        <f>60*F81/Steuerung!$D$1</f>
        <v>0.69462395003885025</v>
      </c>
      <c r="J81" s="103">
        <f t="shared" si="11"/>
        <v>0</v>
      </c>
      <c r="K81" s="57">
        <f t="shared" si="12"/>
        <v>0</v>
      </c>
      <c r="L81" s="57">
        <f t="shared" si="13"/>
        <v>0</v>
      </c>
    </row>
    <row r="82" spans="1:12">
      <c r="A82" s="64">
        <v>67</v>
      </c>
      <c r="B82" s="64">
        <v>0</v>
      </c>
      <c r="C82" s="117">
        <f t="shared" si="7"/>
        <v>0</v>
      </c>
      <c r="D82" s="103">
        <f t="shared" si="8"/>
        <v>-3.0944239739082939</v>
      </c>
      <c r="E82" s="103">
        <f t="shared" si="9"/>
        <v>193.62939400490967</v>
      </c>
      <c r="F82" s="103">
        <f t="shared" si="10"/>
        <v>30.813079886204594</v>
      </c>
      <c r="G82" s="118">
        <f>C82/Steuerung!$D$4</f>
        <v>0</v>
      </c>
      <c r="H82" s="103">
        <f>D82/Steuerung!$D$2</f>
        <v>-1.0314746579694314</v>
      </c>
      <c r="I82" s="57">
        <f>60*F82/Steuerung!$D$1</f>
        <v>0.61626159772409184</v>
      </c>
      <c r="J82" s="103">
        <f t="shared" si="11"/>
        <v>0</v>
      </c>
      <c r="K82" s="57">
        <f t="shared" si="12"/>
        <v>0</v>
      </c>
      <c r="L82" s="57">
        <f t="shared" si="13"/>
        <v>0</v>
      </c>
    </row>
    <row r="83" spans="1:12">
      <c r="A83" s="64">
        <v>68</v>
      </c>
      <c r="B83" s="64">
        <v>0</v>
      </c>
      <c r="C83" s="117">
        <f t="shared" si="7"/>
        <v>0</v>
      </c>
      <c r="D83" s="103">
        <f t="shared" si="8"/>
        <v>-2.7453338775533584</v>
      </c>
      <c r="E83" s="103">
        <f t="shared" si="9"/>
        <v>171.78555347695487</v>
      </c>
      <c r="F83" s="103">
        <f t="shared" si="10"/>
        <v>27.336975410081934</v>
      </c>
      <c r="G83" s="118">
        <f>C83/Steuerung!$D$4</f>
        <v>0</v>
      </c>
      <c r="H83" s="103">
        <f>D83/Steuerung!$D$2</f>
        <v>-0.91511129251778611</v>
      </c>
      <c r="I83" s="57">
        <f>60*F83/Steuerung!$D$1</f>
        <v>0.54673950820163864</v>
      </c>
      <c r="J83" s="103">
        <f t="shared" si="11"/>
        <v>0</v>
      </c>
      <c r="K83" s="57">
        <f t="shared" si="12"/>
        <v>0</v>
      </c>
      <c r="L83" s="57">
        <f t="shared" si="13"/>
        <v>0</v>
      </c>
    </row>
    <row r="84" spans="1:12">
      <c r="A84" s="64">
        <v>69</v>
      </c>
      <c r="B84" s="64">
        <v>0</v>
      </c>
      <c r="C84" s="117">
        <f t="shared" si="7"/>
        <v>0</v>
      </c>
      <c r="D84" s="103">
        <f t="shared" si="8"/>
        <v>-2.4356255518861283</v>
      </c>
      <c r="E84" s="103">
        <f t="shared" si="9"/>
        <v>152.40597397435997</v>
      </c>
      <c r="F84" s="103">
        <f t="shared" si="10"/>
        <v>24.253019410305534</v>
      </c>
      <c r="G84" s="118">
        <f>C84/Steuerung!$D$4</f>
        <v>0</v>
      </c>
      <c r="H84" s="103">
        <f>D84/Steuerung!$D$2</f>
        <v>-0.81187518396204272</v>
      </c>
      <c r="I84" s="57">
        <f>60*F84/Steuerung!$D$1</f>
        <v>0.48506038820611069</v>
      </c>
      <c r="J84" s="103">
        <f t="shared" si="11"/>
        <v>0</v>
      </c>
      <c r="K84" s="57">
        <f t="shared" si="12"/>
        <v>0</v>
      </c>
      <c r="L84" s="57">
        <f t="shared" si="13"/>
        <v>0</v>
      </c>
    </row>
    <row r="85" spans="1:12">
      <c r="A85" s="64">
        <v>70</v>
      </c>
      <c r="B85" s="64">
        <v>0</v>
      </c>
      <c r="C85" s="117">
        <f t="shared" si="7"/>
        <v>0</v>
      </c>
      <c r="D85" s="103">
        <f t="shared" si="8"/>
        <v>-2.1608562359223176</v>
      </c>
      <c r="E85" s="103">
        <f t="shared" si="9"/>
        <v>135.21265573818621</v>
      </c>
      <c r="F85" s="103">
        <f t="shared" si="10"/>
        <v>21.516972587235234</v>
      </c>
      <c r="G85" s="118">
        <f>C85/Steuerung!$D$4</f>
        <v>0</v>
      </c>
      <c r="H85" s="103">
        <f>D85/Steuerung!$D$2</f>
        <v>-0.72028541197410589</v>
      </c>
      <c r="I85" s="57">
        <f>60*F85/Steuerung!$D$1</f>
        <v>0.43033945174470473</v>
      </c>
      <c r="J85" s="103">
        <f t="shared" si="11"/>
        <v>0</v>
      </c>
      <c r="K85" s="57">
        <f t="shared" si="12"/>
        <v>0</v>
      </c>
      <c r="L85" s="57">
        <f t="shared" si="13"/>
        <v>0</v>
      </c>
    </row>
    <row r="86" spans="1:12">
      <c r="A86" s="64">
        <v>71</v>
      </c>
      <c r="B86" s="64">
        <v>0</v>
      </c>
      <c r="C86" s="117">
        <f t="shared" si="7"/>
        <v>0</v>
      </c>
      <c r="D86" s="103">
        <f t="shared" si="8"/>
        <v>-1.91708436820614</v>
      </c>
      <c r="E86" s="103">
        <f t="shared" si="9"/>
        <v>119.95896089249764</v>
      </c>
      <c r="F86" s="103">
        <f t="shared" si="10"/>
        <v>19.089586392822667</v>
      </c>
      <c r="G86" s="118">
        <f>C86/Steuerung!$D$4</f>
        <v>0</v>
      </c>
      <c r="H86" s="103">
        <f>D86/Steuerung!$D$2</f>
        <v>-0.63902812273538001</v>
      </c>
      <c r="I86" s="57">
        <f>60*F86/Steuerung!$D$1</f>
        <v>0.38179172785645338</v>
      </c>
      <c r="J86" s="103">
        <f t="shared" si="11"/>
        <v>0</v>
      </c>
      <c r="K86" s="57">
        <f t="shared" si="12"/>
        <v>0</v>
      </c>
      <c r="L86" s="57">
        <f t="shared" si="13"/>
        <v>0</v>
      </c>
    </row>
    <row r="87" spans="1:12">
      <c r="A87" s="64">
        <v>72</v>
      </c>
      <c r="B87" s="64">
        <v>0</v>
      </c>
      <c r="C87" s="117">
        <f t="shared" si="7"/>
        <v>0</v>
      </c>
      <c r="D87" s="103">
        <f t="shared" si="8"/>
        <v>-1.700813045182362</v>
      </c>
      <c r="E87" s="103">
        <f t="shared" si="9"/>
        <v>106.4260754279658</v>
      </c>
      <c r="F87" s="103">
        <f t="shared" si="10"/>
        <v>16.936040010815692</v>
      </c>
      <c r="G87" s="118">
        <f>C87/Steuerung!$D$4</f>
        <v>0</v>
      </c>
      <c r="H87" s="103">
        <f>D87/Steuerung!$D$2</f>
        <v>-0.56693768172745396</v>
      </c>
      <c r="I87" s="57">
        <f>60*F87/Steuerung!$D$1</f>
        <v>0.33872080021631384</v>
      </c>
      <c r="J87" s="103">
        <f t="shared" si="11"/>
        <v>0</v>
      </c>
      <c r="K87" s="57">
        <f t="shared" si="12"/>
        <v>0</v>
      </c>
      <c r="L87" s="57">
        <f t="shared" si="13"/>
        <v>0</v>
      </c>
    </row>
    <row r="88" spans="1:12">
      <c r="A88" s="64">
        <v>73</v>
      </c>
      <c r="B88" s="64">
        <v>0</v>
      </c>
      <c r="C88" s="117">
        <f t="shared" si="7"/>
        <v>0</v>
      </c>
      <c r="D88" s="103">
        <f t="shared" si="8"/>
        <v>-1.508939858170836</v>
      </c>
      <c r="E88" s="103">
        <f t="shared" si="9"/>
        <v>94.419870318395169</v>
      </c>
      <c r="F88" s="103">
        <f t="shared" si="10"/>
        <v>15.025440852704515</v>
      </c>
      <c r="G88" s="118">
        <f>C88/Steuerung!$D$4</f>
        <v>0</v>
      </c>
      <c r="H88" s="103">
        <f>D88/Steuerung!$D$2</f>
        <v>-0.50297995272361196</v>
      </c>
      <c r="I88" s="57">
        <f>60*F88/Steuerung!$D$1</f>
        <v>0.30050881705409027</v>
      </c>
      <c r="J88" s="103">
        <f t="shared" si="11"/>
        <v>0</v>
      </c>
      <c r="K88" s="57">
        <f t="shared" si="12"/>
        <v>0</v>
      </c>
      <c r="L88" s="57">
        <f t="shared" si="13"/>
        <v>0</v>
      </c>
    </row>
    <row r="89" spans="1:12">
      <c r="A89" s="64">
        <v>74</v>
      </c>
      <c r="B89" s="64">
        <v>0</v>
      </c>
      <c r="C89" s="117">
        <f t="shared" si="7"/>
        <v>0</v>
      </c>
      <c r="D89" s="103">
        <f t="shared" si="8"/>
        <v>-1.3387123893634603</v>
      </c>
      <c r="E89" s="103">
        <f t="shared" si="9"/>
        <v>83.768116742937977</v>
      </c>
      <c r="F89" s="103">
        <f t="shared" si="10"/>
        <v>13.330381404032142</v>
      </c>
      <c r="G89" s="118">
        <f>C89/Steuerung!$D$4</f>
        <v>0</v>
      </c>
      <c r="H89" s="103">
        <f>D89/Steuerung!$D$2</f>
        <v>-0.44623746312115342</v>
      </c>
      <c r="I89" s="57">
        <f>60*F89/Steuerung!$D$1</f>
        <v>0.26660762808064281</v>
      </c>
      <c r="J89" s="103">
        <f t="shared" si="11"/>
        <v>0</v>
      </c>
      <c r="K89" s="57">
        <f t="shared" si="12"/>
        <v>0</v>
      </c>
      <c r="L89" s="57">
        <f t="shared" si="13"/>
        <v>0</v>
      </c>
    </row>
    <row r="90" spans="1:12">
      <c r="A90" s="64">
        <v>75</v>
      </c>
      <c r="B90" s="64">
        <v>0</v>
      </c>
      <c r="C90" s="117">
        <f t="shared" si="7"/>
        <v>0</v>
      </c>
      <c r="D90" s="103">
        <f t="shared" si="8"/>
        <v>-1.1876887284346125</v>
      </c>
      <c r="E90" s="103">
        <f t="shared" si="9"/>
        <v>74.318015466405413</v>
      </c>
      <c r="F90" s="103">
        <f t="shared" si="10"/>
        <v>11.826546064036508</v>
      </c>
      <c r="G90" s="118">
        <f>C90/Steuerung!$D$4</f>
        <v>0</v>
      </c>
      <c r="H90" s="103">
        <f>D90/Steuerung!$D$2</f>
        <v>-0.39589624281153751</v>
      </c>
      <c r="I90" s="57">
        <f>60*F90/Steuerung!$D$1</f>
        <v>0.23653092128073017</v>
      </c>
      <c r="J90" s="103">
        <f t="shared" si="11"/>
        <v>0</v>
      </c>
      <c r="K90" s="57">
        <f t="shared" si="12"/>
        <v>0</v>
      </c>
      <c r="L90" s="57">
        <f t="shared" si="13"/>
        <v>0</v>
      </c>
    </row>
    <row r="91" spans="1:12">
      <c r="A91" s="64">
        <v>76</v>
      </c>
      <c r="B91" s="64">
        <v>0</v>
      </c>
      <c r="C91" s="117">
        <f t="shared" si="7"/>
        <v>0</v>
      </c>
      <c r="D91" s="103">
        <f t="shared" si="8"/>
        <v>-1.0537024433764675</v>
      </c>
      <c r="E91" s="103">
        <f t="shared" si="9"/>
        <v>65.934004936675407</v>
      </c>
      <c r="F91" s="103">
        <f t="shared" si="10"/>
        <v>10.492362338745291</v>
      </c>
      <c r="G91" s="118">
        <f>C91/Steuerung!$D$4</f>
        <v>0</v>
      </c>
      <c r="H91" s="103">
        <f>D91/Steuerung!$D$2</f>
        <v>-0.35123414779215584</v>
      </c>
      <c r="I91" s="57">
        <f>60*F91/Steuerung!$D$1</f>
        <v>0.20984724677490582</v>
      </c>
      <c r="J91" s="103">
        <f t="shared" si="11"/>
        <v>0</v>
      </c>
      <c r="K91" s="57">
        <f t="shared" si="12"/>
        <v>0</v>
      </c>
      <c r="L91" s="57">
        <f t="shared" si="13"/>
        <v>0</v>
      </c>
    </row>
    <row r="92" spans="1:12">
      <c r="A92" s="64">
        <v>77</v>
      </c>
      <c r="B92" s="64">
        <v>0</v>
      </c>
      <c r="C92" s="117">
        <f t="shared" si="7"/>
        <v>0</v>
      </c>
      <c r="D92" s="103">
        <f t="shared" si="8"/>
        <v>-0.93483150306638929</v>
      </c>
      <c r="E92" s="103">
        <f t="shared" si="9"/>
        <v>58.495816656389053</v>
      </c>
      <c r="F92" s="103">
        <f t="shared" si="10"/>
        <v>9.3086913838938656</v>
      </c>
      <c r="G92" s="118">
        <f>C92/Steuerung!$D$4</f>
        <v>0</v>
      </c>
      <c r="H92" s="103">
        <f>D92/Steuerung!$D$2</f>
        <v>-0.31161050102212978</v>
      </c>
      <c r="I92" s="57">
        <f>60*F92/Steuerung!$D$1</f>
        <v>0.18617382767787732</v>
      </c>
      <c r="J92" s="103">
        <f t="shared" si="11"/>
        <v>0</v>
      </c>
      <c r="K92" s="57">
        <f t="shared" si="12"/>
        <v>0</v>
      </c>
      <c r="L92" s="57">
        <f t="shared" si="13"/>
        <v>0</v>
      </c>
    </row>
    <row r="93" spans="1:12">
      <c r="A93" s="64">
        <v>78</v>
      </c>
      <c r="B93" s="64">
        <v>0</v>
      </c>
      <c r="C93" s="117">
        <f t="shared" si="7"/>
        <v>0</v>
      </c>
      <c r="D93" s="103">
        <f t="shared" si="8"/>
        <v>-0.82937070576112693</v>
      </c>
      <c r="E93" s="103">
        <f t="shared" si="9"/>
        <v>51.896749933273782</v>
      </c>
      <c r="F93" s="103">
        <f t="shared" si="10"/>
        <v>8.2585534585095139</v>
      </c>
      <c r="G93" s="118">
        <f>C93/Steuerung!$D$4</f>
        <v>0</v>
      </c>
      <c r="H93" s="103">
        <f>D93/Steuerung!$D$2</f>
        <v>-0.27645690192037564</v>
      </c>
      <c r="I93" s="57">
        <f>60*F93/Steuerung!$D$1</f>
        <v>0.16517106917019028</v>
      </c>
      <c r="J93" s="103">
        <f t="shared" si="11"/>
        <v>0</v>
      </c>
      <c r="K93" s="57">
        <f t="shared" si="12"/>
        <v>0</v>
      </c>
      <c r="L93" s="57">
        <f t="shared" si="13"/>
        <v>0</v>
      </c>
    </row>
    <row r="94" spans="1:12">
      <c r="A94" s="64">
        <v>79</v>
      </c>
      <c r="B94" s="64">
        <v>0</v>
      </c>
      <c r="C94" s="117">
        <f t="shared" si="7"/>
        <v>0</v>
      </c>
      <c r="D94" s="103">
        <f t="shared" si="8"/>
        <v>-0.73580721800499704</v>
      </c>
      <c r="E94" s="103">
        <f t="shared" si="9"/>
        <v>46.042141260414162</v>
      </c>
      <c r="F94" s="103">
        <f t="shared" si="10"/>
        <v>7.3268843507979255</v>
      </c>
      <c r="G94" s="118">
        <f>C94/Steuerung!$D$4</f>
        <v>0</v>
      </c>
      <c r="H94" s="103">
        <f>D94/Steuerung!$D$2</f>
        <v>-0.24526907266833234</v>
      </c>
      <c r="I94" s="57">
        <f>60*F94/Steuerung!$D$1</f>
        <v>0.14653768701595851</v>
      </c>
      <c r="J94" s="103">
        <f t="shared" si="11"/>
        <v>0</v>
      </c>
      <c r="K94" s="57">
        <f t="shared" si="12"/>
        <v>0</v>
      </c>
      <c r="L94" s="57">
        <f t="shared" si="13"/>
        <v>0</v>
      </c>
    </row>
    <row r="95" spans="1:12">
      <c r="A95" s="64">
        <v>80</v>
      </c>
      <c r="B95" s="64">
        <v>0</v>
      </c>
      <c r="C95" s="117">
        <f t="shared" si="7"/>
        <v>0</v>
      </c>
      <c r="D95" s="103">
        <f t="shared" si="8"/>
        <v>-0.65279887305808615</v>
      </c>
      <c r="E95" s="103">
        <f t="shared" si="9"/>
        <v>40.848006369754657</v>
      </c>
      <c r="F95" s="103">
        <f t="shared" si="10"/>
        <v>6.5003192822652229</v>
      </c>
      <c r="G95" s="118">
        <f>C95/Steuerung!$D$4</f>
        <v>0</v>
      </c>
      <c r="H95" s="103">
        <f>D95/Steuerung!$D$2</f>
        <v>-0.21759962435269539</v>
      </c>
      <c r="I95" s="57">
        <f>60*F95/Steuerung!$D$1</f>
        <v>0.13000638564530445</v>
      </c>
      <c r="J95" s="103">
        <f t="shared" si="11"/>
        <v>0</v>
      </c>
      <c r="K95" s="57">
        <f t="shared" si="12"/>
        <v>0</v>
      </c>
      <c r="L95" s="57">
        <f t="shared" si="13"/>
        <v>0</v>
      </c>
    </row>
    <row r="96" spans="1:12">
      <c r="A96" s="64">
        <v>81</v>
      </c>
      <c r="B96" s="64">
        <v>0</v>
      </c>
      <c r="C96" s="117">
        <f t="shared" si="7"/>
        <v>0</v>
      </c>
      <c r="D96" s="103">
        <f t="shared" si="8"/>
        <v>-0.57915491753576842</v>
      </c>
      <c r="E96" s="103">
        <f t="shared" si="9"/>
        <v>36.239835479113594</v>
      </c>
      <c r="F96" s="103">
        <f t="shared" si="10"/>
        <v>5.7670011901835769</v>
      </c>
      <c r="G96" s="118">
        <f>C96/Steuerung!$D$4</f>
        <v>0</v>
      </c>
      <c r="H96" s="103">
        <f>D96/Steuerung!$D$2</f>
        <v>-0.19305163917858947</v>
      </c>
      <c r="I96" s="57">
        <f>60*F96/Steuerung!$D$1</f>
        <v>0.11534002380367153</v>
      </c>
      <c r="J96" s="103">
        <f t="shared" si="11"/>
        <v>0</v>
      </c>
      <c r="K96" s="57">
        <f t="shared" si="12"/>
        <v>0</v>
      </c>
      <c r="L96" s="57">
        <f t="shared" si="13"/>
        <v>0</v>
      </c>
    </row>
    <row r="97" spans="1:12">
      <c r="A97" s="64">
        <v>82</v>
      </c>
      <c r="B97" s="64">
        <v>0</v>
      </c>
      <c r="C97" s="117">
        <f t="shared" si="7"/>
        <v>0</v>
      </c>
      <c r="D97" s="103">
        <f t="shared" si="8"/>
        <v>-0.51381893007039081</v>
      </c>
      <c r="E97" s="103">
        <f t="shared" si="9"/>
        <v>32.151524450545878</v>
      </c>
      <c r="F97" s="103">
        <f t="shared" si="10"/>
        <v>5.1164106382154486</v>
      </c>
      <c r="G97" s="118">
        <f>C97/Steuerung!$D$4</f>
        <v>0</v>
      </c>
      <c r="H97" s="103">
        <f>D97/Steuerung!$D$2</f>
        <v>-0.17127297669013028</v>
      </c>
      <c r="I97" s="57">
        <f>60*F97/Steuerung!$D$1</f>
        <v>0.10232821276430897</v>
      </c>
      <c r="J97" s="103">
        <f t="shared" si="11"/>
        <v>0</v>
      </c>
      <c r="K97" s="57">
        <f t="shared" si="12"/>
        <v>0</v>
      </c>
      <c r="L97" s="57">
        <f t="shared" si="13"/>
        <v>0</v>
      </c>
    </row>
    <row r="98" spans="1:12">
      <c r="A98" s="64">
        <v>83</v>
      </c>
      <c r="B98" s="64">
        <v>0</v>
      </c>
      <c r="C98" s="117">
        <f t="shared" si="7"/>
        <v>0</v>
      </c>
      <c r="D98" s="103">
        <f t="shared" si="8"/>
        <v>-0.45585366696359969</v>
      </c>
      <c r="E98" s="103">
        <f t="shared" si="9"/>
        <v>28.524426527538242</v>
      </c>
      <c r="F98" s="103">
        <f t="shared" si="10"/>
        <v>4.539214915267066</v>
      </c>
      <c r="G98" s="118">
        <f>C98/Steuerung!$D$4</f>
        <v>0</v>
      </c>
      <c r="H98" s="103">
        <f>D98/Steuerung!$D$2</f>
        <v>-0.1519512223211999</v>
      </c>
      <c r="I98" s="57">
        <f>60*F98/Steuerung!$D$1</f>
        <v>9.0784298305341321E-2</v>
      </c>
      <c r="J98" s="103">
        <f t="shared" si="11"/>
        <v>0</v>
      </c>
      <c r="K98" s="57">
        <f t="shared" si="12"/>
        <v>0</v>
      </c>
      <c r="L98" s="57">
        <f t="shared" si="13"/>
        <v>0</v>
      </c>
    </row>
    <row r="99" spans="1:12">
      <c r="A99" s="64">
        <v>84</v>
      </c>
      <c r="B99" s="64">
        <v>0</v>
      </c>
      <c r="C99" s="117">
        <f t="shared" si="7"/>
        <v>0</v>
      </c>
      <c r="D99" s="103">
        <f t="shared" si="8"/>
        <v>-0.40442761744043271</v>
      </c>
      <c r="E99" s="103">
        <f t="shared" si="9"/>
        <v>25.306511048222259</v>
      </c>
      <c r="F99" s="103">
        <f t="shared" si="10"/>
        <v>4.0271341578966036</v>
      </c>
      <c r="G99" s="118">
        <f>C99/Steuerung!$D$4</f>
        <v>0</v>
      </c>
      <c r="H99" s="103">
        <f>D99/Steuerung!$D$2</f>
        <v>-0.13480920581347758</v>
      </c>
      <c r="I99" s="57">
        <f>60*F99/Steuerung!$D$1</f>
        <v>8.0542683157932074E-2</v>
      </c>
      <c r="J99" s="103">
        <f t="shared" si="11"/>
        <v>0</v>
      </c>
      <c r="K99" s="57">
        <f t="shared" si="12"/>
        <v>0</v>
      </c>
      <c r="L99" s="57">
        <f t="shared" si="13"/>
        <v>0</v>
      </c>
    </row>
    <row r="100" spans="1:12">
      <c r="A100" s="64">
        <v>85</v>
      </c>
      <c r="B100" s="64">
        <v>0</v>
      </c>
      <c r="C100" s="117">
        <f t="shared" si="7"/>
        <v>0</v>
      </c>
      <c r="D100" s="103">
        <f t="shared" si="8"/>
        <v>-0.35880307564051145</v>
      </c>
      <c r="E100" s="103">
        <f t="shared" si="9"/>
        <v>22.4516170663595</v>
      </c>
      <c r="F100" s="103">
        <f t="shared" si="10"/>
        <v>3.57282257580514</v>
      </c>
      <c r="G100" s="118">
        <f>C100/Steuerung!$D$4</f>
        <v>0</v>
      </c>
      <c r="H100" s="103">
        <f>D100/Steuerung!$D$2</f>
        <v>-0.11960102521350381</v>
      </c>
      <c r="I100" s="57">
        <f>60*F100/Steuerung!$D$1</f>
        <v>7.1456451516102804E-2</v>
      </c>
      <c r="J100" s="103">
        <f t="shared" si="11"/>
        <v>0</v>
      </c>
      <c r="K100" s="57">
        <f t="shared" si="12"/>
        <v>0</v>
      </c>
      <c r="L100" s="57">
        <f t="shared" si="13"/>
        <v>0</v>
      </c>
    </row>
    <row r="101" spans="1:12">
      <c r="A101" s="64">
        <v>86</v>
      </c>
      <c r="B101" s="64">
        <v>0</v>
      </c>
      <c r="C101" s="117">
        <f t="shared" si="7"/>
        <v>0</v>
      </c>
      <c r="D101" s="103">
        <f t="shared" si="8"/>
        <v>-0.31832555823923764</v>
      </c>
      <c r="E101" s="103">
        <f t="shared" si="9"/>
        <v>19.918791173303823</v>
      </c>
      <c r="F101" s="103">
        <f t="shared" si="10"/>
        <v>3.1697630765919516</v>
      </c>
      <c r="G101" s="118">
        <f>C101/Steuerung!$D$4</f>
        <v>0</v>
      </c>
      <c r="H101" s="103">
        <f>D101/Steuerung!$D$2</f>
        <v>-0.10610851941307921</v>
      </c>
      <c r="I101" s="57">
        <f>60*F101/Steuerung!$D$1</f>
        <v>6.3395261531839039E-2</v>
      </c>
      <c r="J101" s="103">
        <f t="shared" si="11"/>
        <v>0</v>
      </c>
      <c r="K101" s="57">
        <f t="shared" si="12"/>
        <v>0</v>
      </c>
      <c r="L101" s="57">
        <f t="shared" si="13"/>
        <v>0</v>
      </c>
    </row>
    <row r="102" spans="1:12">
      <c r="A102" s="64">
        <v>87</v>
      </c>
      <c r="B102" s="64">
        <v>0</v>
      </c>
      <c r="C102" s="117">
        <f t="shared" si="7"/>
        <v>0</v>
      </c>
      <c r="D102" s="103">
        <f t="shared" si="8"/>
        <v>-0.28241441589493799</v>
      </c>
      <c r="E102" s="103">
        <f t="shared" si="9"/>
        <v>17.671700022007371</v>
      </c>
      <c r="F102" s="103">
        <f t="shared" si="10"/>
        <v>2.8121737781679457</v>
      </c>
      <c r="G102" s="118">
        <f>C102/Steuerung!$D$4</f>
        <v>0</v>
      </c>
      <c r="H102" s="103">
        <f>D102/Steuerung!$D$2</f>
        <v>-9.4138138631645996E-2</v>
      </c>
      <c r="I102" s="57">
        <f>60*F102/Steuerung!$D$1</f>
        <v>5.6243475563358916E-2</v>
      </c>
      <c r="J102" s="103">
        <f t="shared" si="11"/>
        <v>0</v>
      </c>
      <c r="K102" s="57">
        <f t="shared" si="12"/>
        <v>0</v>
      </c>
      <c r="L102" s="57">
        <f t="shared" si="13"/>
        <v>0</v>
      </c>
    </row>
    <row r="103" spans="1:12">
      <c r="A103" s="64">
        <v>88</v>
      </c>
      <c r="B103" s="64">
        <v>0</v>
      </c>
      <c r="C103" s="117">
        <f t="shared" si="7"/>
        <v>0</v>
      </c>
      <c r="D103" s="103">
        <f t="shared" si="8"/>
        <v>-0.25055450384331662</v>
      </c>
      <c r="E103" s="103">
        <f t="shared" si="9"/>
        <v>15.678109125736551</v>
      </c>
      <c r="F103" s="103">
        <f t="shared" si="10"/>
        <v>2.4949250677492922</v>
      </c>
      <c r="G103" s="118">
        <f>C103/Steuerung!$D$4</f>
        <v>0</v>
      </c>
      <c r="H103" s="103">
        <f>D103/Steuerung!$D$2</f>
        <v>-8.3518167947772212E-2</v>
      </c>
      <c r="I103" s="57">
        <f>60*F103/Steuerung!$D$1</f>
        <v>4.9898501354985844E-2</v>
      </c>
      <c r="J103" s="103">
        <f t="shared" si="11"/>
        <v>0</v>
      </c>
      <c r="K103" s="57">
        <f t="shared" si="12"/>
        <v>0</v>
      </c>
      <c r="L103" s="57">
        <f t="shared" si="13"/>
        <v>0</v>
      </c>
    </row>
    <row r="104" spans="1:12">
      <c r="A104" s="64">
        <v>89</v>
      </c>
      <c r="B104" s="64">
        <v>0</v>
      </c>
      <c r="C104" s="117">
        <f t="shared" si="7"/>
        <v>0</v>
      </c>
      <c r="D104" s="103">
        <f t="shared" si="8"/>
        <v>-0.22228879215402617</v>
      </c>
      <c r="E104" s="103">
        <f t="shared" si="9"/>
        <v>13.909420454873835</v>
      </c>
      <c r="F104" s="103">
        <f t="shared" si="10"/>
        <v>2.2134660176438312</v>
      </c>
      <c r="G104" s="118">
        <f>C104/Steuerung!$D$4</f>
        <v>0</v>
      </c>
      <c r="H104" s="103">
        <f>D104/Steuerung!$D$2</f>
        <v>-7.4096264051342051E-2</v>
      </c>
      <c r="I104" s="57">
        <f>60*F104/Steuerung!$D$1</f>
        <v>4.4269320352876625E-2</v>
      </c>
      <c r="J104" s="103">
        <f t="shared" si="11"/>
        <v>0</v>
      </c>
      <c r="K104" s="57">
        <f t="shared" si="12"/>
        <v>0</v>
      </c>
      <c r="L104" s="57">
        <f t="shared" si="13"/>
        <v>0</v>
      </c>
    </row>
    <row r="105" spans="1:12">
      <c r="A105" s="64">
        <v>90</v>
      </c>
      <c r="B105" s="64">
        <v>0</v>
      </c>
      <c r="C105" s="117">
        <f t="shared" si="7"/>
        <v>0</v>
      </c>
      <c r="D105" s="103">
        <f t="shared" si="8"/>
        <v>-0.19721180964360416</v>
      </c>
      <c r="E105" s="103">
        <f t="shared" si="9"/>
        <v>12.34026219863892</v>
      </c>
      <c r="F105" s="103">
        <f t="shared" si="10"/>
        <v>1.9637591022659007</v>
      </c>
      <c r="G105" s="118">
        <f>C105/Steuerung!$D$4</f>
        <v>0</v>
      </c>
      <c r="H105" s="103">
        <f>D105/Steuerung!$D$2</f>
        <v>-6.5737269881201391E-2</v>
      </c>
      <c r="I105" s="57">
        <f>60*F105/Steuerung!$D$1</f>
        <v>3.9275182045318012E-2</v>
      </c>
      <c r="J105" s="103">
        <f t="shared" si="11"/>
        <v>0</v>
      </c>
      <c r="K105" s="57">
        <f t="shared" si="12"/>
        <v>0</v>
      </c>
      <c r="L105" s="57">
        <f t="shared" si="13"/>
        <v>0</v>
      </c>
    </row>
    <row r="106" spans="1:12">
      <c r="A106" s="64">
        <v>91</v>
      </c>
      <c r="B106" s="64">
        <v>0</v>
      </c>
      <c r="C106" s="117">
        <f t="shared" si="7"/>
        <v>0</v>
      </c>
      <c r="D106" s="103">
        <f t="shared" si="8"/>
        <v>-0.17496382739781211</v>
      </c>
      <c r="E106" s="103">
        <f t="shared" si="9"/>
        <v>10.948124806867659</v>
      </c>
      <c r="F106" s="103">
        <f t="shared" si="10"/>
        <v>1.7422222798961902</v>
      </c>
      <c r="G106" s="118">
        <f>C106/Steuerung!$D$4</f>
        <v>0</v>
      </c>
      <c r="H106" s="103">
        <f>D106/Steuerung!$D$2</f>
        <v>-5.8321275799270704E-2</v>
      </c>
      <c r="I106" s="57">
        <f>60*F106/Steuerung!$D$1</f>
        <v>3.4844445597923802E-2</v>
      </c>
      <c r="J106" s="103">
        <f t="shared" si="11"/>
        <v>0</v>
      </c>
      <c r="K106" s="57">
        <f t="shared" si="12"/>
        <v>0</v>
      </c>
      <c r="L106" s="57">
        <f t="shared" si="13"/>
        <v>0</v>
      </c>
    </row>
    <row r="107" spans="1:12">
      <c r="A107" s="64">
        <v>92</v>
      </c>
      <c r="B107" s="64">
        <v>0</v>
      </c>
      <c r="C107" s="117">
        <f t="shared" si="7"/>
        <v>0</v>
      </c>
      <c r="D107" s="103">
        <f t="shared" si="8"/>
        <v>-0.15522569846609682</v>
      </c>
      <c r="E107" s="103">
        <f t="shared" si="9"/>
        <v>9.7130380908738907</v>
      </c>
      <c r="F107" s="103">
        <f t="shared" si="10"/>
        <v>1.5456776083503965</v>
      </c>
      <c r="G107" s="118">
        <f>C107/Steuerung!$D$4</f>
        <v>0</v>
      </c>
      <c r="H107" s="103">
        <f>D107/Steuerung!$D$2</f>
        <v>-5.1741899488698943E-2</v>
      </c>
      <c r="I107" s="57">
        <f>60*F107/Steuerung!$D$1</f>
        <v>3.0913552167007932E-2</v>
      </c>
      <c r="J107" s="103">
        <f t="shared" si="11"/>
        <v>0</v>
      </c>
      <c r="K107" s="57">
        <f t="shared" si="12"/>
        <v>0</v>
      </c>
      <c r="L107" s="57">
        <f t="shared" si="13"/>
        <v>0</v>
      </c>
    </row>
    <row r="108" spans="1:12">
      <c r="A108" s="64">
        <v>93</v>
      </c>
      <c r="B108" s="64">
        <v>0</v>
      </c>
      <c r="C108" s="117">
        <f t="shared" si="7"/>
        <v>0</v>
      </c>
      <c r="D108" s="103">
        <f t="shared" si="8"/>
        <v>-0.13771427970367389</v>
      </c>
      <c r="E108" s="103">
        <f t="shared" si="9"/>
        <v>8.6172847514111766</v>
      </c>
      <c r="F108" s="103">
        <f t="shared" si="10"/>
        <v>1.3713056574492644</v>
      </c>
      <c r="G108" s="118">
        <f>C108/Steuerung!$D$4</f>
        <v>0</v>
      </c>
      <c r="H108" s="103">
        <f>D108/Steuerung!$D$2</f>
        <v>-4.5904759901224633E-2</v>
      </c>
      <c r="I108" s="57">
        <f>60*F108/Steuerung!$D$1</f>
        <v>2.7426113148985288E-2</v>
      </c>
      <c r="J108" s="103">
        <f t="shared" si="11"/>
        <v>0</v>
      </c>
      <c r="K108" s="57">
        <f t="shared" si="12"/>
        <v>0</v>
      </c>
      <c r="L108" s="57">
        <f t="shared" si="13"/>
        <v>0</v>
      </c>
    </row>
    <row r="109" spans="1:12">
      <c r="A109" s="64">
        <v>94</v>
      </c>
      <c r="B109" s="64">
        <v>0</v>
      </c>
      <c r="C109" s="117">
        <f t="shared" si="7"/>
        <v>0</v>
      </c>
      <c r="D109" s="103">
        <f t="shared" si="8"/>
        <v>-0.12217837008763055</v>
      </c>
      <c r="E109" s="103">
        <f t="shared" si="9"/>
        <v>7.6451462242976298</v>
      </c>
      <c r="F109" s="103">
        <f t="shared" si="10"/>
        <v>1.2166050643376241</v>
      </c>
      <c r="G109" s="118">
        <f>C109/Steuerung!$D$4</f>
        <v>0</v>
      </c>
      <c r="H109" s="103">
        <f>D109/Steuerung!$D$2</f>
        <v>-4.0726123362543519E-2</v>
      </c>
      <c r="I109" s="57">
        <f>60*F109/Steuerung!$D$1</f>
        <v>2.4332101286752481E-2</v>
      </c>
      <c r="J109" s="103">
        <f t="shared" si="11"/>
        <v>0</v>
      </c>
      <c r="K109" s="57">
        <f t="shared" si="12"/>
        <v>0</v>
      </c>
      <c r="L109" s="57">
        <f t="shared" si="13"/>
        <v>0</v>
      </c>
    </row>
    <row r="110" spans="1:12">
      <c r="A110" s="64">
        <v>95</v>
      </c>
      <c r="B110" s="64">
        <v>0</v>
      </c>
      <c r="C110" s="117">
        <f t="shared" si="7"/>
        <v>0</v>
      </c>
      <c r="D110" s="103">
        <f t="shared" si="8"/>
        <v>-0.10839510724225779</v>
      </c>
      <c r="E110" s="103">
        <f t="shared" si="9"/>
        <v>6.7826771978633698</v>
      </c>
      <c r="F110" s="103">
        <f t="shared" si="10"/>
        <v>1.07935665147412</v>
      </c>
      <c r="G110" s="118">
        <f>C110/Steuerung!$D$4</f>
        <v>0</v>
      </c>
      <c r="H110" s="103">
        <f>D110/Steuerung!$D$2</f>
        <v>-3.6131702414085927E-2</v>
      </c>
      <c r="I110" s="57">
        <f>60*F110/Steuerung!$D$1</f>
        <v>2.1587133029482397E-2</v>
      </c>
      <c r="J110" s="103">
        <f t="shared" si="11"/>
        <v>0</v>
      </c>
      <c r="K110" s="57">
        <f t="shared" si="12"/>
        <v>0</v>
      </c>
      <c r="L110" s="57">
        <f t="shared" si="13"/>
        <v>0</v>
      </c>
    </row>
    <row r="111" spans="1:12">
      <c r="A111" s="64">
        <v>96</v>
      </c>
      <c r="B111" s="64">
        <v>0</v>
      </c>
      <c r="C111" s="117">
        <f t="shared" si="7"/>
        <v>0</v>
      </c>
      <c r="D111" s="103">
        <f t="shared" si="8"/>
        <v>-9.6166770481824398E-2</v>
      </c>
      <c r="E111" s="103">
        <f t="shared" si="9"/>
        <v>6.0175055676769889</v>
      </c>
      <c r="F111" s="103">
        <f t="shared" si="10"/>
        <v>0.95759159256476589</v>
      </c>
      <c r="G111" s="118">
        <f>C111/Steuerung!$D$4</f>
        <v>0</v>
      </c>
      <c r="H111" s="103">
        <f>D111/Steuerung!$D$2</f>
        <v>-3.2055590160608133E-2</v>
      </c>
      <c r="I111" s="57">
        <f>60*F111/Steuerung!$D$1</f>
        <v>1.9151831851295317E-2</v>
      </c>
      <c r="J111" s="103">
        <f t="shared" si="11"/>
        <v>0</v>
      </c>
      <c r="K111" s="57">
        <f t="shared" si="12"/>
        <v>0</v>
      </c>
      <c r="L111" s="57">
        <f t="shared" si="13"/>
        <v>0</v>
      </c>
    </row>
    <row r="112" spans="1:12">
      <c r="A112" s="64">
        <v>97</v>
      </c>
      <c r="B112" s="64">
        <v>0</v>
      </c>
      <c r="C112" s="117">
        <f t="shared" si="7"/>
        <v>0</v>
      </c>
      <c r="D112" s="103">
        <f t="shared" si="8"/>
        <v>-8.5317944510493016E-2</v>
      </c>
      <c r="E112" s="103">
        <f t="shared" si="9"/>
        <v>5.3386549589047654</v>
      </c>
      <c r="F112" s="103">
        <f t="shared" si="10"/>
        <v>0.84956316978115298</v>
      </c>
      <c r="G112" s="118">
        <f>C112/Steuerung!$D$4</f>
        <v>0</v>
      </c>
      <c r="H112" s="103">
        <f>D112/Steuerung!$D$2</f>
        <v>-2.8439314836831004E-2</v>
      </c>
      <c r="I112" s="57">
        <f>60*F112/Steuerung!$D$1</f>
        <v>1.6991263395623062E-2</v>
      </c>
      <c r="J112" s="103">
        <f t="shared" si="11"/>
        <v>0</v>
      </c>
      <c r="K112" s="57">
        <f t="shared" si="12"/>
        <v>0</v>
      </c>
      <c r="L112" s="57">
        <f t="shared" si="13"/>
        <v>0</v>
      </c>
    </row>
    <row r="113" spans="1:12">
      <c r="A113" s="64">
        <v>98</v>
      </c>
      <c r="B113" s="64">
        <v>0</v>
      </c>
      <c r="C113" s="117">
        <f t="shared" si="7"/>
        <v>0</v>
      </c>
      <c r="D113" s="103">
        <f t="shared" si="8"/>
        <v>-7.5693003092698566E-2</v>
      </c>
      <c r="E113" s="103">
        <f t="shared" si="9"/>
        <v>4.736387270388704</v>
      </c>
      <c r="F113" s="103">
        <f t="shared" si="10"/>
        <v>0.75372171712105418</v>
      </c>
      <c r="G113" s="118">
        <f>C113/Steuerung!$D$4</f>
        <v>0</v>
      </c>
      <c r="H113" s="103">
        <f>D113/Steuerung!$D$2</f>
        <v>-2.5231001030899522E-2</v>
      </c>
      <c r="I113" s="57">
        <f>60*F113/Steuerung!$D$1</f>
        <v>1.5074434342421082E-2</v>
      </c>
      <c r="J113" s="103">
        <f t="shared" si="11"/>
        <v>0</v>
      </c>
      <c r="K113" s="57">
        <f t="shared" si="12"/>
        <v>0</v>
      </c>
      <c r="L113" s="57">
        <f t="shared" si="13"/>
        <v>0</v>
      </c>
    </row>
    <row r="114" spans="1:12">
      <c r="A114" s="64">
        <v>99</v>
      </c>
      <c r="B114" s="64">
        <v>0</v>
      </c>
      <c r="C114" s="117">
        <f t="shared" si="7"/>
        <v>0</v>
      </c>
      <c r="D114" s="103">
        <f t="shared" si="8"/>
        <v>-6.7153876597280518E-2</v>
      </c>
      <c r="E114" s="103">
        <f t="shared" si="9"/>
        <v>4.2020629817407045</v>
      </c>
      <c r="F114" s="103">
        <f t="shared" si="10"/>
        <v>0.66869239047433238</v>
      </c>
      <c r="G114" s="118">
        <f>C114/Steuerung!$D$4</f>
        <v>0</v>
      </c>
      <c r="H114" s="103">
        <f>D114/Steuerung!$D$2</f>
        <v>-2.238462553242684E-2</v>
      </c>
      <c r="I114" s="57">
        <f>60*F114/Steuerung!$D$1</f>
        <v>1.3373847809486647E-2</v>
      </c>
      <c r="J114" s="103">
        <f t="shared" si="11"/>
        <v>0</v>
      </c>
      <c r="K114" s="57">
        <f t="shared" si="12"/>
        <v>0</v>
      </c>
      <c r="L114" s="57">
        <f t="shared" si="13"/>
        <v>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tabSelected="1" workbookViewId="0">
      <selection activeCell="M9" sqref="M9"/>
    </sheetView>
  </sheetViews>
  <sheetFormatPr baseColWidth="10" defaultRowHeight="15" x14ac:dyDescent="0"/>
  <cols>
    <col min="5" max="5" width="13.1640625" customWidth="1"/>
    <col min="8" max="8" width="11.5" customWidth="1"/>
    <col min="12" max="12" width="10.83203125" style="64"/>
    <col min="16" max="16" width="12" customWidth="1"/>
  </cols>
  <sheetData>
    <row r="1" spans="1:21">
      <c r="A1" t="s">
        <v>134</v>
      </c>
      <c r="H1" t="s">
        <v>135</v>
      </c>
      <c r="I1" t="s">
        <v>136</v>
      </c>
      <c r="K1" t="s">
        <v>88</v>
      </c>
      <c r="L1" s="65" t="s">
        <v>90</v>
      </c>
      <c r="M1" s="22">
        <f>Steuerung!I4</f>
        <v>3</v>
      </c>
      <c r="N1" s="4" t="s">
        <v>93</v>
      </c>
      <c r="P1" t="s">
        <v>129</v>
      </c>
      <c r="U1" t="s">
        <v>118</v>
      </c>
    </row>
    <row r="2" spans="1:21">
      <c r="A2" t="s">
        <v>85</v>
      </c>
      <c r="H2" t="s">
        <v>86</v>
      </c>
      <c r="I2" t="s">
        <v>87</v>
      </c>
      <c r="K2" t="s">
        <v>89</v>
      </c>
      <c r="L2" s="68" t="s">
        <v>82</v>
      </c>
      <c r="M2" s="63">
        <f>Steuerung!O11*0.001</f>
        <v>1E-3</v>
      </c>
      <c r="N2" s="7" t="s">
        <v>94</v>
      </c>
      <c r="P2" t="s">
        <v>128</v>
      </c>
    </row>
    <row r="3" spans="1:21">
      <c r="L3" s="68" t="s">
        <v>91</v>
      </c>
      <c r="M3" s="14">
        <f>Steuerung!I2/Steuerung!D2</f>
        <v>4.7740292807129214E-2</v>
      </c>
      <c r="N3" s="7" t="s">
        <v>95</v>
      </c>
      <c r="T3" t="s">
        <v>155</v>
      </c>
    </row>
    <row r="4" spans="1:21">
      <c r="A4" t="s">
        <v>108</v>
      </c>
      <c r="H4" s="91" t="s">
        <v>98</v>
      </c>
      <c r="I4" s="92">
        <f>-M1/M2</f>
        <v>-3000</v>
      </c>
      <c r="J4" s="93" t="s">
        <v>35</v>
      </c>
      <c r="L4" s="68" t="s">
        <v>92</v>
      </c>
      <c r="M4" s="16">
        <f>Steuerung!I6</f>
        <v>20.946666666666665</v>
      </c>
      <c r="N4" s="7" t="s">
        <v>37</v>
      </c>
      <c r="P4" s="91" t="s">
        <v>125</v>
      </c>
      <c r="Q4" s="92">
        <f>I4*F11</f>
        <v>-30</v>
      </c>
      <c r="R4" s="93"/>
      <c r="T4" t="s">
        <v>149</v>
      </c>
      <c r="U4" t="s">
        <v>150</v>
      </c>
    </row>
    <row r="5" spans="1:21" ht="16" thickBot="1">
      <c r="A5" t="s">
        <v>109</v>
      </c>
      <c r="E5" t="s">
        <v>112</v>
      </c>
      <c r="H5" s="94" t="s">
        <v>99</v>
      </c>
      <c r="I5" s="16">
        <f>-1/(M4*M2)</f>
        <v>-47.740292807129222</v>
      </c>
      <c r="J5" s="95" t="s">
        <v>8</v>
      </c>
      <c r="L5" s="79" t="s">
        <v>97</v>
      </c>
      <c r="M5" s="10">
        <f>Steuerung!D5*Steuerung!E5</f>
        <v>5.9999999999999995E-5</v>
      </c>
      <c r="N5" s="11" t="str">
        <f>Steuerung!F5</f>
        <v>kg m2</v>
      </c>
      <c r="P5" s="94" t="s">
        <v>120</v>
      </c>
      <c r="Q5" s="16">
        <f>I5*F11</f>
        <v>-0.47740292807129225</v>
      </c>
      <c r="R5" s="95" t="s">
        <v>126</v>
      </c>
      <c r="T5" t="s">
        <v>151</v>
      </c>
      <c r="U5" t="s">
        <v>152</v>
      </c>
    </row>
    <row r="6" spans="1:21" ht="16" thickBot="1">
      <c r="A6" t="s">
        <v>110</v>
      </c>
      <c r="E6" t="s">
        <v>113</v>
      </c>
      <c r="H6" s="94" t="s">
        <v>100</v>
      </c>
      <c r="I6" s="96">
        <f>M3/M5</f>
        <v>795.67154678548695</v>
      </c>
      <c r="J6" s="95" t="s">
        <v>106</v>
      </c>
      <c r="L6" s="111" t="s">
        <v>117</v>
      </c>
      <c r="M6">
        <f>2*3.142</f>
        <v>6.2839999999999998</v>
      </c>
      <c r="P6" s="94" t="s">
        <v>121</v>
      </c>
      <c r="Q6" s="16">
        <f>I6*F11</f>
        <v>7.9567154678548695</v>
      </c>
      <c r="R6" s="95" t="s">
        <v>105</v>
      </c>
      <c r="T6" t="s">
        <v>153</v>
      </c>
      <c r="U6" t="s">
        <v>154</v>
      </c>
    </row>
    <row r="7" spans="1:21">
      <c r="H7" s="94" t="s">
        <v>101</v>
      </c>
      <c r="I7" s="6">
        <v>0</v>
      </c>
      <c r="J7" s="95"/>
      <c r="L7" s="112" t="s">
        <v>137</v>
      </c>
      <c r="M7" s="105"/>
      <c r="N7" s="106"/>
      <c r="P7" s="94" t="s">
        <v>122</v>
      </c>
      <c r="Q7" s="6">
        <f>I7</f>
        <v>0</v>
      </c>
      <c r="R7" s="95"/>
    </row>
    <row r="8" spans="1:21">
      <c r="H8" s="94" t="s">
        <v>102</v>
      </c>
      <c r="I8" s="6">
        <f>1/M2</f>
        <v>1000</v>
      </c>
      <c r="J8" s="95" t="s">
        <v>104</v>
      </c>
      <c r="L8" s="113" t="s">
        <v>138</v>
      </c>
      <c r="M8" s="129">
        <v>1</v>
      </c>
      <c r="N8" s="108" t="s">
        <v>93</v>
      </c>
      <c r="O8" s="129">
        <v>-1.3</v>
      </c>
      <c r="P8" s="94" t="s">
        <v>123</v>
      </c>
      <c r="Q8" s="6">
        <f>I8*F11</f>
        <v>10</v>
      </c>
      <c r="R8" s="95" t="s">
        <v>127</v>
      </c>
    </row>
    <row r="9" spans="1:21" ht="16" thickBot="1">
      <c r="H9" s="97" t="s">
        <v>103</v>
      </c>
      <c r="I9" s="98">
        <v>0</v>
      </c>
      <c r="J9" s="99"/>
      <c r="L9" s="113" t="s">
        <v>139</v>
      </c>
      <c r="M9" s="129">
        <v>0.1</v>
      </c>
      <c r="N9" s="108" t="s">
        <v>95</v>
      </c>
      <c r="O9" s="129">
        <v>0.03</v>
      </c>
      <c r="P9" s="97" t="s">
        <v>124</v>
      </c>
      <c r="Q9" s="98">
        <v>0</v>
      </c>
      <c r="R9" s="99"/>
    </row>
    <row r="10" spans="1:21" ht="16" thickBot="1">
      <c r="L10" s="120" t="s">
        <v>147</v>
      </c>
      <c r="M10" s="121" t="s">
        <v>157</v>
      </c>
      <c r="N10" s="122"/>
      <c r="P10" s="100" t="s">
        <v>130</v>
      </c>
      <c r="Q10" s="101"/>
      <c r="R10" s="102">
        <f>1-Q4-Q5*Q6</f>
        <v>34.798559262184057</v>
      </c>
    </row>
    <row r="11" spans="1:21" ht="16" thickBot="1">
      <c r="A11" s="18" t="s">
        <v>16</v>
      </c>
      <c r="B11" s="19"/>
      <c r="C11" s="19"/>
      <c r="D11" s="19"/>
      <c r="E11" s="19" t="s">
        <v>111</v>
      </c>
      <c r="F11" s="19">
        <v>0.01</v>
      </c>
      <c r="G11" s="25" t="s">
        <v>34</v>
      </c>
      <c r="H11" s="19" t="s">
        <v>69</v>
      </c>
      <c r="I11" s="19"/>
      <c r="J11" s="26"/>
      <c r="L11" s="123" t="s">
        <v>145</v>
      </c>
      <c r="M11" s="124">
        <v>0</v>
      </c>
      <c r="N11" s="125"/>
    </row>
    <row r="12" spans="1:21" ht="16" thickBot="1">
      <c r="L12" s="126" t="s">
        <v>146</v>
      </c>
      <c r="M12" s="128">
        <f>-1*F11/M5</f>
        <v>-166.66666666666669</v>
      </c>
      <c r="N12" s="127"/>
    </row>
    <row r="13" spans="1:21">
      <c r="L13" s="69"/>
      <c r="M13" s="6"/>
      <c r="N13" s="6"/>
    </row>
    <row r="14" spans="1:21">
      <c r="A14" s="64" t="s">
        <v>17</v>
      </c>
      <c r="B14" s="64" t="s">
        <v>141</v>
      </c>
      <c r="C14" s="119" t="s">
        <v>148</v>
      </c>
      <c r="D14" s="119" t="s">
        <v>156</v>
      </c>
      <c r="E14" s="104" t="s">
        <v>144</v>
      </c>
      <c r="F14" s="64" t="s">
        <v>114</v>
      </c>
      <c r="G14" s="64" t="s">
        <v>115</v>
      </c>
      <c r="H14" s="64" t="s">
        <v>116</v>
      </c>
      <c r="I14" s="64" t="s">
        <v>131</v>
      </c>
      <c r="J14" s="64" t="s">
        <v>132</v>
      </c>
      <c r="K14" s="64" t="s">
        <v>133</v>
      </c>
      <c r="L14" s="104" t="s">
        <v>140</v>
      </c>
      <c r="M14" s="104" t="s">
        <v>142</v>
      </c>
      <c r="N14" s="104" t="s">
        <v>143</v>
      </c>
    </row>
    <row r="15" spans="1:21">
      <c r="A15" s="87">
        <v>-1</v>
      </c>
      <c r="B15" s="88">
        <v>0</v>
      </c>
      <c r="C15" s="88"/>
      <c r="D15" s="88"/>
      <c r="E15" s="117">
        <f>B15-L15</f>
        <v>0</v>
      </c>
      <c r="F15" s="88"/>
      <c r="G15" s="88"/>
      <c r="H15" s="88"/>
      <c r="I15" s="64">
        <f>E15/Steuerung!$D$4</f>
        <v>0</v>
      </c>
      <c r="J15" s="103">
        <f>F15/Steuerung!$D$2</f>
        <v>0</v>
      </c>
      <c r="K15" s="57">
        <f>60*H15/Steuerung!$D$1</f>
        <v>0</v>
      </c>
      <c r="L15" s="116">
        <v>0</v>
      </c>
    </row>
    <row r="16" spans="1:21">
      <c r="A16" s="64">
        <v>0</v>
      </c>
      <c r="B16" s="64">
        <v>24</v>
      </c>
      <c r="C16" s="118">
        <v>0</v>
      </c>
      <c r="D16" s="103">
        <f>C16*$M$12</f>
        <v>0</v>
      </c>
      <c r="E16" s="117">
        <f>B16-L16</f>
        <v>24</v>
      </c>
      <c r="F16" s="103">
        <f>(F15 +$Q$8*E16 +$Q$5*G15)/$R$10</f>
        <v>6.896837256731212</v>
      </c>
      <c r="G16" s="103">
        <f>$Q$6*F16+G15+D16</f>
        <v>54.876171679910982</v>
      </c>
      <c r="H16" s="103">
        <f>G16/$M$6</f>
        <v>8.7326816804441414</v>
      </c>
      <c r="I16" s="64">
        <f>E16/Steuerung!$D$4</f>
        <v>1</v>
      </c>
      <c r="J16" s="103">
        <f>F16/Steuerung!$D$2</f>
        <v>2.2989457522437373</v>
      </c>
      <c r="K16" s="57">
        <f>60*H16/Steuerung!$D$1</f>
        <v>0.17465363360888284</v>
      </c>
      <c r="L16" s="103">
        <f>M16+N16</f>
        <v>0</v>
      </c>
      <c r="M16" s="57">
        <f>$M$8*F15</f>
        <v>0</v>
      </c>
      <c r="N16" s="57">
        <f>$M$9*G15</f>
        <v>0</v>
      </c>
    </row>
    <row r="17" spans="1:14">
      <c r="A17" s="64">
        <v>1</v>
      </c>
      <c r="B17" s="64">
        <v>24</v>
      </c>
      <c r="C17" s="118">
        <v>0</v>
      </c>
      <c r="D17" s="103">
        <f t="shared" ref="D17:D80" si="0">C17*$M$12</f>
        <v>0</v>
      </c>
      <c r="E17" s="117">
        <f t="shared" ref="E17:E80" si="1">B17-L17</f>
        <v>11.615545575277689</v>
      </c>
      <c r="F17" s="103">
        <f>(F16 +$Q$8*E17 +$Q$5*G16)/$R$10</f>
        <v>2.7832832744149889</v>
      </c>
      <c r="G17" s="103">
        <f t="shared" ref="G17:G80" si="2">$Q$6*F17+G16+D17</f>
        <v>77.021964760870475</v>
      </c>
      <c r="H17" s="103">
        <f t="shared" ref="H17:H80" si="3">G17/$M$6</f>
        <v>12.256837167547816</v>
      </c>
      <c r="I17" s="118">
        <f>E17/Steuerung!$D$4</f>
        <v>0.4839810656365704</v>
      </c>
      <c r="J17" s="103">
        <f>F17/Steuerung!$D$2</f>
        <v>0.92776109147166297</v>
      </c>
      <c r="K17" s="57">
        <f>60*H17/Steuerung!$D$1</f>
        <v>0.24513674335095634</v>
      </c>
      <c r="L17" s="103">
        <f t="shared" ref="L17:L80" si="4">M17+N17</f>
        <v>12.384454424722311</v>
      </c>
      <c r="M17" s="57">
        <f t="shared" ref="M17:M80" si="5">$M$8*F16</f>
        <v>6.896837256731212</v>
      </c>
      <c r="N17" s="57">
        <f t="shared" ref="N17:N80" si="6">$M$9*G16</f>
        <v>5.4876171679910986</v>
      </c>
    </row>
    <row r="18" spans="1:14">
      <c r="A18" s="64">
        <v>2</v>
      </c>
      <c r="B18" s="64">
        <v>24</v>
      </c>
      <c r="C18" s="118">
        <v>0</v>
      </c>
      <c r="D18" s="103">
        <f t="shared" si="0"/>
        <v>0</v>
      </c>
      <c r="E18" s="117">
        <f t="shared" si="1"/>
        <v>13.514520249497963</v>
      </c>
      <c r="F18" s="103">
        <f t="shared" ref="F18:F81" si="7">(F17 +$Q$8*E18 +$Q$5*G17)/$R$10</f>
        <v>2.9069586905766114</v>
      </c>
      <c r="G18" s="103">
        <f t="shared" si="2"/>
        <v>100.15180793859653</v>
      </c>
      <c r="H18" s="103">
        <f t="shared" si="3"/>
        <v>15.937588787173224</v>
      </c>
      <c r="I18" s="118">
        <f>E18/Steuerung!$D$4</f>
        <v>0.56310501039574845</v>
      </c>
      <c r="J18" s="103">
        <f>F18/Steuerung!$D$2</f>
        <v>0.96898623019220376</v>
      </c>
      <c r="K18" s="57">
        <f>60*H18/Steuerung!$D$1</f>
        <v>0.31875177574346453</v>
      </c>
      <c r="L18" s="103">
        <f t="shared" si="4"/>
        <v>10.485479750502037</v>
      </c>
      <c r="M18" s="57">
        <f t="shared" si="5"/>
        <v>2.7832832744149889</v>
      </c>
      <c r="N18" s="57">
        <f t="shared" si="6"/>
        <v>7.7021964760870478</v>
      </c>
    </row>
    <row r="19" spans="1:14">
      <c r="A19" s="64">
        <v>3</v>
      </c>
      <c r="B19" s="64">
        <v>24</v>
      </c>
      <c r="C19" s="118">
        <v>0</v>
      </c>
      <c r="D19" s="103">
        <f t="shared" si="0"/>
        <v>0</v>
      </c>
      <c r="E19" s="117">
        <f t="shared" si="1"/>
        <v>11.077860515563735</v>
      </c>
      <c r="F19" s="103">
        <f t="shared" si="7"/>
        <v>1.8929748495731236</v>
      </c>
      <c r="G19" s="103">
        <f t="shared" si="2"/>
        <v>115.21367020445525</v>
      </c>
      <c r="H19" s="103">
        <f t="shared" si="3"/>
        <v>18.334447836482376</v>
      </c>
      <c r="I19" s="118">
        <f>E19/Steuerung!$D$4</f>
        <v>0.46157752148182229</v>
      </c>
      <c r="J19" s="103">
        <f>F19/Steuerung!$D$2</f>
        <v>0.63099161652437452</v>
      </c>
      <c r="K19" s="57">
        <f>60*H19/Steuerung!$D$1</f>
        <v>0.36668895672964752</v>
      </c>
      <c r="L19" s="103">
        <f t="shared" si="4"/>
        <v>12.922139484436265</v>
      </c>
      <c r="M19" s="57">
        <f t="shared" si="5"/>
        <v>2.9069586905766114</v>
      </c>
      <c r="N19" s="57">
        <f t="shared" si="6"/>
        <v>10.015180793859654</v>
      </c>
    </row>
    <row r="20" spans="1:14">
      <c r="A20" s="64">
        <v>4</v>
      </c>
      <c r="B20" s="64">
        <v>24</v>
      </c>
      <c r="C20" s="118">
        <v>0</v>
      </c>
      <c r="D20" s="103">
        <f t="shared" si="0"/>
        <v>0</v>
      </c>
      <c r="E20" s="117">
        <f t="shared" si="1"/>
        <v>10.585658129981351</v>
      </c>
      <c r="F20" s="103">
        <f t="shared" si="7"/>
        <v>1.5157585186941729</v>
      </c>
      <c r="G20" s="103">
        <f t="shared" si="2"/>
        <v>127.27412945568196</v>
      </c>
      <c r="H20" s="103">
        <f t="shared" si="3"/>
        <v>20.253680689955754</v>
      </c>
      <c r="I20" s="118">
        <f>E20/Steuerung!$D$4</f>
        <v>0.44106908874922296</v>
      </c>
      <c r="J20" s="103">
        <f>F20/Steuerung!$D$2</f>
        <v>0.50525283956472433</v>
      </c>
      <c r="K20" s="57">
        <f>60*H20/Steuerung!$D$1</f>
        <v>0.40507361379911511</v>
      </c>
      <c r="L20" s="103">
        <f t="shared" si="4"/>
        <v>13.414341870018649</v>
      </c>
      <c r="M20" s="57">
        <f t="shared" si="5"/>
        <v>1.8929748495731236</v>
      </c>
      <c r="N20" s="57">
        <f t="shared" si="6"/>
        <v>11.521367020445526</v>
      </c>
    </row>
    <row r="21" spans="1:14">
      <c r="A21" s="64">
        <v>5</v>
      </c>
      <c r="B21" s="64">
        <v>24</v>
      </c>
      <c r="C21" s="118">
        <v>0</v>
      </c>
      <c r="D21" s="103">
        <f t="shared" si="0"/>
        <v>0</v>
      </c>
      <c r="E21" s="117">
        <f t="shared" si="1"/>
        <v>9.756828535737629</v>
      </c>
      <c r="F21" s="103">
        <f t="shared" si="7"/>
        <v>1.1012812776949985</v>
      </c>
      <c r="G21" s="103">
        <f t="shared" si="2"/>
        <v>136.03671123237672</v>
      </c>
      <c r="H21" s="103">
        <f t="shared" si="3"/>
        <v>21.648108089175164</v>
      </c>
      <c r="I21" s="118">
        <f>E21/Steuerung!$D$4</f>
        <v>0.40653452232240123</v>
      </c>
      <c r="J21" s="103">
        <f>F21/Steuerung!$D$2</f>
        <v>0.36709375923166615</v>
      </c>
      <c r="K21" s="57">
        <f>60*H21/Steuerung!$D$1</f>
        <v>0.43296216178350333</v>
      </c>
      <c r="L21" s="103">
        <f t="shared" si="4"/>
        <v>14.243171464262371</v>
      </c>
      <c r="M21" s="57">
        <f t="shared" si="5"/>
        <v>1.5157585186941729</v>
      </c>
      <c r="N21" s="57">
        <f t="shared" si="6"/>
        <v>12.727412945568197</v>
      </c>
    </row>
    <row r="22" spans="1:14">
      <c r="A22" s="64">
        <v>6</v>
      </c>
      <c r="B22" s="64">
        <v>24</v>
      </c>
      <c r="C22" s="118">
        <v>0</v>
      </c>
      <c r="D22" s="103">
        <f t="shared" si="0"/>
        <v>0</v>
      </c>
      <c r="E22" s="117">
        <f t="shared" si="1"/>
        <v>9.2950475990673294</v>
      </c>
      <c r="F22" s="103">
        <f t="shared" si="7"/>
        <v>0.83645511820008389</v>
      </c>
      <c r="G22" s="103">
        <f t="shared" si="2"/>
        <v>142.69214660952571</v>
      </c>
      <c r="H22" s="103">
        <f t="shared" si="3"/>
        <v>22.707216201388562</v>
      </c>
      <c r="I22" s="118">
        <f>E22/Steuerung!$D$4</f>
        <v>0.38729364996113874</v>
      </c>
      <c r="J22" s="103">
        <f>F22/Steuerung!$D$2</f>
        <v>0.2788183727333613</v>
      </c>
      <c r="K22" s="57">
        <f>60*H22/Steuerung!$D$1</f>
        <v>0.45414432402777122</v>
      </c>
      <c r="L22" s="103">
        <f t="shared" si="4"/>
        <v>14.704952400932671</v>
      </c>
      <c r="M22" s="57">
        <f t="shared" si="5"/>
        <v>1.1012812776949985</v>
      </c>
      <c r="N22" s="57">
        <f t="shared" si="6"/>
        <v>13.603671123237673</v>
      </c>
    </row>
    <row r="23" spans="1:14">
      <c r="A23" s="64">
        <v>7</v>
      </c>
      <c r="B23" s="64">
        <v>24</v>
      </c>
      <c r="C23" s="118">
        <v>0</v>
      </c>
      <c r="D23" s="103">
        <f t="shared" si="0"/>
        <v>0</v>
      </c>
      <c r="E23" s="117">
        <f t="shared" si="1"/>
        <v>8.8943302208473458</v>
      </c>
      <c r="F23" s="103">
        <f t="shared" si="7"/>
        <v>0.62238521311553063</v>
      </c>
      <c r="G23" s="103">
        <f t="shared" si="2"/>
        <v>147.6442886616862</v>
      </c>
      <c r="H23" s="103">
        <f t="shared" si="3"/>
        <v>23.495271906697361</v>
      </c>
      <c r="I23" s="118">
        <f>E23/Steuerung!$D$4</f>
        <v>0.37059709253530609</v>
      </c>
      <c r="J23" s="103">
        <f>F23/Steuerung!$D$2</f>
        <v>0.20746173770517687</v>
      </c>
      <c r="K23" s="57">
        <f>60*H23/Steuerung!$D$1</f>
        <v>0.4699054381339472</v>
      </c>
      <c r="L23" s="103">
        <f t="shared" si="4"/>
        <v>15.105669779152654</v>
      </c>
      <c r="M23" s="57">
        <f t="shared" si="5"/>
        <v>0.83645511820008389</v>
      </c>
      <c r="N23" s="57">
        <f t="shared" si="6"/>
        <v>14.269214660952571</v>
      </c>
    </row>
    <row r="24" spans="1:14">
      <c r="A24" s="64">
        <v>8</v>
      </c>
      <c r="B24" s="64">
        <v>24</v>
      </c>
      <c r="C24" s="118">
        <v>0</v>
      </c>
      <c r="D24" s="103">
        <f t="shared" si="0"/>
        <v>0</v>
      </c>
      <c r="E24" s="117">
        <f t="shared" si="1"/>
        <v>8.6131859207158481</v>
      </c>
      <c r="F24" s="103">
        <f t="shared" si="7"/>
        <v>0.46750293819954186</v>
      </c>
      <c r="G24" s="103">
        <f t="shared" si="2"/>
        <v>151.3640765213261</v>
      </c>
      <c r="H24" s="103">
        <f t="shared" si="3"/>
        <v>24.087217778696068</v>
      </c>
      <c r="I24" s="118">
        <f>E24/Steuerung!$D$4</f>
        <v>0.35888274669649367</v>
      </c>
      <c r="J24" s="103">
        <f>F24/Steuerung!$D$2</f>
        <v>0.15583431273318063</v>
      </c>
      <c r="K24" s="57">
        <f>60*H24/Steuerung!$D$1</f>
        <v>0.48174435557392137</v>
      </c>
      <c r="L24" s="103">
        <f t="shared" si="4"/>
        <v>15.386814079284152</v>
      </c>
      <c r="M24" s="57">
        <f t="shared" si="5"/>
        <v>0.62238521311553063</v>
      </c>
      <c r="N24" s="57">
        <f t="shared" si="6"/>
        <v>14.764428866168622</v>
      </c>
    </row>
    <row r="25" spans="1:14">
      <c r="A25" s="64">
        <v>9</v>
      </c>
      <c r="B25" s="64">
        <v>24</v>
      </c>
      <c r="C25" s="118">
        <v>0</v>
      </c>
      <c r="D25" s="103">
        <f t="shared" si="0"/>
        <v>0</v>
      </c>
      <c r="E25" s="117">
        <f t="shared" si="1"/>
        <v>8.3960894096678462</v>
      </c>
      <c r="F25" s="103">
        <f t="shared" si="7"/>
        <v>0.34963354681213799</v>
      </c>
      <c r="G25" s="103">
        <f t="shared" si="2"/>
        <v>154.14601117132719</v>
      </c>
      <c r="H25" s="103">
        <f t="shared" si="3"/>
        <v>24.529919027900572</v>
      </c>
      <c r="I25" s="118">
        <f>E25/Steuerung!$D$4</f>
        <v>0.34983705873616028</v>
      </c>
      <c r="J25" s="103">
        <f>F25/Steuerung!$D$2</f>
        <v>0.116544515604046</v>
      </c>
      <c r="K25" s="57">
        <f>60*H25/Steuerung!$D$1</f>
        <v>0.49059838055801142</v>
      </c>
      <c r="L25" s="103">
        <f t="shared" si="4"/>
        <v>15.603910590332154</v>
      </c>
      <c r="M25" s="57">
        <f t="shared" si="5"/>
        <v>0.46750293819954186</v>
      </c>
      <c r="N25" s="57">
        <f t="shared" si="6"/>
        <v>15.136407652132611</v>
      </c>
    </row>
    <row r="26" spans="1:14">
      <c r="A26" s="64">
        <v>10</v>
      </c>
      <c r="B26" s="64">
        <v>24</v>
      </c>
      <c r="C26" s="118">
        <v>0</v>
      </c>
      <c r="D26" s="103">
        <f t="shared" si="0"/>
        <v>0</v>
      </c>
      <c r="E26" s="117">
        <f t="shared" si="1"/>
        <v>8.2357653360551435</v>
      </c>
      <c r="F26" s="103">
        <f t="shared" si="7"/>
        <v>0.26200883073828762</v>
      </c>
      <c r="G26" s="103">
        <f t="shared" si="2"/>
        <v>156.2307408875771</v>
      </c>
      <c r="H26" s="103">
        <f t="shared" si="3"/>
        <v>24.86167105149222</v>
      </c>
      <c r="I26" s="118">
        <f>E26/Steuerung!$D$4</f>
        <v>0.34315688900229763</v>
      </c>
      <c r="J26" s="103">
        <f>F26/Steuerung!$D$2</f>
        <v>8.7336276912762537E-2</v>
      </c>
      <c r="K26" s="57">
        <f>60*H26/Steuerung!$D$1</f>
        <v>0.49723342102984436</v>
      </c>
      <c r="L26" s="103">
        <f t="shared" si="4"/>
        <v>15.764234663944857</v>
      </c>
      <c r="M26" s="57">
        <f t="shared" si="5"/>
        <v>0.34963354681213799</v>
      </c>
      <c r="N26" s="57">
        <f t="shared" si="6"/>
        <v>15.414601117132719</v>
      </c>
    </row>
    <row r="27" spans="1:14">
      <c r="A27" s="64">
        <v>11</v>
      </c>
      <c r="B27" s="64">
        <v>24</v>
      </c>
      <c r="C27" s="118">
        <v>0</v>
      </c>
      <c r="D27" s="103">
        <f t="shared" si="0"/>
        <v>0</v>
      </c>
      <c r="E27" s="117">
        <f t="shared" si="1"/>
        <v>8.1149170805040018</v>
      </c>
      <c r="F27" s="103">
        <f t="shared" si="7"/>
        <v>0.19616233045371193</v>
      </c>
      <c r="G27" s="103">
        <f t="shared" si="2"/>
        <v>157.79154873650862</v>
      </c>
      <c r="H27" s="103">
        <f t="shared" si="3"/>
        <v>25.110049130571074</v>
      </c>
      <c r="I27" s="118">
        <f>E27/Steuerung!$D$4</f>
        <v>0.33812154502100006</v>
      </c>
      <c r="J27" s="103">
        <f>F27/Steuerung!$D$2</f>
        <v>6.5387443484570637E-2</v>
      </c>
      <c r="K27" s="57">
        <f>60*H27/Steuerung!$D$1</f>
        <v>0.50220098261142143</v>
      </c>
      <c r="L27" s="103">
        <f t="shared" si="4"/>
        <v>15.885082919495998</v>
      </c>
      <c r="M27" s="57">
        <f t="shared" si="5"/>
        <v>0.26200883073828762</v>
      </c>
      <c r="N27" s="57">
        <f t="shared" si="6"/>
        <v>15.623074088757711</v>
      </c>
    </row>
    <row r="28" spans="1:14">
      <c r="A28" s="64">
        <v>12</v>
      </c>
      <c r="B28" s="64">
        <v>24</v>
      </c>
      <c r="C28" s="118">
        <v>0</v>
      </c>
      <c r="D28" s="103">
        <f t="shared" si="0"/>
        <v>0</v>
      </c>
      <c r="E28" s="117">
        <f t="shared" si="1"/>
        <v>8.0246827958954263</v>
      </c>
      <c r="F28" s="103">
        <f t="shared" si="7"/>
        <v>0.14692685576931167</v>
      </c>
      <c r="G28" s="103">
        <f t="shared" si="2"/>
        <v>158.96060392245158</v>
      </c>
      <c r="H28" s="103">
        <f t="shared" si="3"/>
        <v>25.296085920186439</v>
      </c>
      <c r="I28" s="118">
        <f>E28/Steuerung!$D$4</f>
        <v>0.33436178316230941</v>
      </c>
      <c r="J28" s="103">
        <f>F28/Steuerung!$D$2</f>
        <v>4.8975618589770557E-2</v>
      </c>
      <c r="K28" s="57">
        <f>60*H28/Steuerung!$D$1</f>
        <v>0.50592171840372879</v>
      </c>
      <c r="L28" s="103">
        <f t="shared" si="4"/>
        <v>15.975317204104574</v>
      </c>
      <c r="M28" s="57">
        <f t="shared" si="5"/>
        <v>0.19616233045371193</v>
      </c>
      <c r="N28" s="57">
        <f t="shared" si="6"/>
        <v>15.779154873650862</v>
      </c>
    </row>
    <row r="29" spans="1:14">
      <c r="A29" s="64">
        <v>13</v>
      </c>
      <c r="B29" s="64">
        <v>24</v>
      </c>
      <c r="C29" s="118">
        <v>0</v>
      </c>
      <c r="D29" s="103">
        <f t="shared" si="0"/>
        <v>0</v>
      </c>
      <c r="E29" s="117">
        <f t="shared" si="1"/>
        <v>7.9570127519855305</v>
      </c>
      <c r="F29" s="103">
        <f t="shared" si="7"/>
        <v>0.11002744643011925</v>
      </c>
      <c r="G29" s="103">
        <f t="shared" si="2"/>
        <v>159.83606100735068</v>
      </c>
      <c r="H29" s="103">
        <f t="shared" si="3"/>
        <v>25.435401178763634</v>
      </c>
      <c r="I29" s="118">
        <f>E29/Steuerung!$D$4</f>
        <v>0.3315421979993971</v>
      </c>
      <c r="J29" s="103">
        <f>F29/Steuerung!$D$2</f>
        <v>3.6675815476706418E-2</v>
      </c>
      <c r="K29" s="57">
        <f>60*H29/Steuerung!$D$1</f>
        <v>0.50870802357527267</v>
      </c>
      <c r="L29" s="103">
        <f t="shared" si="4"/>
        <v>16.04298724801447</v>
      </c>
      <c r="M29" s="57">
        <f t="shared" si="5"/>
        <v>0.14692685576931167</v>
      </c>
      <c r="N29" s="57">
        <f t="shared" si="6"/>
        <v>15.896060392245159</v>
      </c>
    </row>
    <row r="30" spans="1:14">
      <c r="A30" s="64">
        <v>14</v>
      </c>
      <c r="B30" s="64">
        <v>24</v>
      </c>
      <c r="C30" s="118">
        <v>0</v>
      </c>
      <c r="D30" s="103">
        <f t="shared" si="0"/>
        <v>0</v>
      </c>
      <c r="E30" s="117">
        <f t="shared" si="1"/>
        <v>7.9063664528348134</v>
      </c>
      <c r="F30" s="103">
        <f t="shared" si="7"/>
        <v>8.240250456585628E-2</v>
      </c>
      <c r="G30" s="103">
        <f t="shared" si="2"/>
        <v>160.49171429001981</v>
      </c>
      <c r="H30" s="103">
        <f t="shared" si="3"/>
        <v>25.539738111078901</v>
      </c>
      <c r="I30" s="118">
        <f>E30/Steuerung!$D$4</f>
        <v>0.32943193553478389</v>
      </c>
      <c r="J30" s="103">
        <f>F30/Steuerung!$D$2</f>
        <v>2.7467501521952094E-2</v>
      </c>
      <c r="K30" s="57">
        <f>60*H30/Steuerung!$D$1</f>
        <v>0.51079476222157794</v>
      </c>
      <c r="L30" s="103">
        <f t="shared" si="4"/>
        <v>16.093633547165187</v>
      </c>
      <c r="M30" s="57">
        <f t="shared" si="5"/>
        <v>0.11002744643011925</v>
      </c>
      <c r="N30" s="57">
        <f t="shared" si="6"/>
        <v>15.983606100735068</v>
      </c>
    </row>
    <row r="31" spans="1:14">
      <c r="A31" s="64">
        <v>15</v>
      </c>
      <c r="B31" s="64">
        <v>24</v>
      </c>
      <c r="C31" s="118">
        <v>0</v>
      </c>
      <c r="D31" s="103">
        <f t="shared" si="0"/>
        <v>0</v>
      </c>
      <c r="E31" s="117">
        <f t="shared" si="1"/>
        <v>7.8684260664321606</v>
      </c>
      <c r="F31" s="103">
        <f t="shared" si="7"/>
        <v>6.1710854736001026E-2</v>
      </c>
      <c r="G31" s="103">
        <f t="shared" si="2"/>
        <v>160.98273000243231</v>
      </c>
      <c r="H31" s="103">
        <f t="shared" si="3"/>
        <v>25.617875557357145</v>
      </c>
      <c r="I31" s="118">
        <f>E31/Steuerung!$D$4</f>
        <v>0.32785108610134001</v>
      </c>
      <c r="J31" s="103">
        <f>F31/Steuerung!$D$2</f>
        <v>2.0570284912000341E-2</v>
      </c>
      <c r="K31" s="57">
        <f>60*H31/Steuerung!$D$1</f>
        <v>0.5123575111471429</v>
      </c>
      <c r="L31" s="103">
        <f t="shared" si="4"/>
        <v>16.131573933567839</v>
      </c>
      <c r="M31" s="57">
        <f t="shared" si="5"/>
        <v>8.240250456585628E-2</v>
      </c>
      <c r="N31" s="57">
        <f t="shared" si="6"/>
        <v>16.049171429001984</v>
      </c>
    </row>
    <row r="32" spans="1:14">
      <c r="A32" s="64">
        <v>16</v>
      </c>
      <c r="B32" s="64">
        <v>24</v>
      </c>
      <c r="C32" s="118">
        <v>0</v>
      </c>
      <c r="D32" s="103">
        <f t="shared" si="0"/>
        <v>0</v>
      </c>
      <c r="E32" s="117">
        <f t="shared" si="1"/>
        <v>7.8400161450207655</v>
      </c>
      <c r="F32" s="103">
        <f t="shared" si="7"/>
        <v>4.6215868328201404E-2</v>
      </c>
      <c r="G32" s="103">
        <f t="shared" si="2"/>
        <v>161.35045651681966</v>
      </c>
      <c r="H32" s="103">
        <f t="shared" si="3"/>
        <v>25.67639346225647</v>
      </c>
      <c r="I32" s="118">
        <f>E32/Steuerung!$D$4</f>
        <v>0.32666733937586523</v>
      </c>
      <c r="J32" s="103">
        <f>F32/Steuerung!$D$2</f>
        <v>1.5405289442733802E-2</v>
      </c>
      <c r="K32" s="57">
        <f>60*H32/Steuerung!$D$1</f>
        <v>0.5135278692451295</v>
      </c>
      <c r="L32" s="103">
        <f t="shared" si="4"/>
        <v>16.159983854979235</v>
      </c>
      <c r="M32" s="57">
        <f t="shared" si="5"/>
        <v>6.1710854736001026E-2</v>
      </c>
      <c r="N32" s="57">
        <f t="shared" si="6"/>
        <v>16.098273000243232</v>
      </c>
    </row>
    <row r="33" spans="1:14">
      <c r="A33" s="64">
        <v>17</v>
      </c>
      <c r="B33" s="64">
        <v>24</v>
      </c>
      <c r="C33" s="118">
        <v>0</v>
      </c>
      <c r="D33" s="103">
        <f t="shared" si="0"/>
        <v>0</v>
      </c>
      <c r="E33" s="117">
        <f t="shared" si="1"/>
        <v>7.8187384799898325</v>
      </c>
      <c r="F33" s="103">
        <f t="shared" si="7"/>
        <v>3.4611211124650189E-2</v>
      </c>
      <c r="G33" s="103">
        <f t="shared" si="2"/>
        <v>161.62584807573634</v>
      </c>
      <c r="H33" s="103">
        <f t="shared" si="3"/>
        <v>25.720217707787452</v>
      </c>
      <c r="I33" s="118">
        <f>E33/Steuerung!$D$4</f>
        <v>0.32578076999957634</v>
      </c>
      <c r="J33" s="103">
        <f>F33/Steuerung!$D$2</f>
        <v>1.1537070374883397E-2</v>
      </c>
      <c r="K33" s="57">
        <f>60*H33/Steuerung!$D$1</f>
        <v>0.51440435415574903</v>
      </c>
      <c r="L33" s="103">
        <f t="shared" si="4"/>
        <v>16.181261520010167</v>
      </c>
      <c r="M33" s="57">
        <f t="shared" si="5"/>
        <v>4.6215868328201404E-2</v>
      </c>
      <c r="N33" s="57">
        <f t="shared" si="6"/>
        <v>16.135045651681967</v>
      </c>
    </row>
    <row r="34" spans="1:14">
      <c r="A34" s="64">
        <v>18</v>
      </c>
      <c r="B34" s="64">
        <v>24</v>
      </c>
      <c r="C34" s="118">
        <v>0</v>
      </c>
      <c r="D34" s="103">
        <f t="shared" si="0"/>
        <v>0</v>
      </c>
      <c r="E34" s="117">
        <f t="shared" si="1"/>
        <v>7.8028039813017145</v>
      </c>
      <c r="F34" s="103">
        <f t="shared" si="7"/>
        <v>2.5920553031620622E-2</v>
      </c>
      <c r="G34" s="103">
        <f t="shared" si="2"/>
        <v>161.83209054097838</v>
      </c>
      <c r="H34" s="103">
        <f t="shared" si="3"/>
        <v>25.753037960053849</v>
      </c>
      <c r="I34" s="118">
        <f>E34/Steuerung!$D$4</f>
        <v>0.32511683255423812</v>
      </c>
      <c r="J34" s="103">
        <f>F34/Steuerung!$D$2</f>
        <v>8.6401843438735412E-3</v>
      </c>
      <c r="K34" s="57">
        <f>60*H34/Steuerung!$D$1</f>
        <v>0.51506075920107697</v>
      </c>
      <c r="L34" s="103">
        <f t="shared" si="4"/>
        <v>16.197196018698286</v>
      </c>
      <c r="M34" s="57">
        <f t="shared" si="5"/>
        <v>3.4611211124650189E-2</v>
      </c>
      <c r="N34" s="57">
        <f t="shared" si="6"/>
        <v>16.162584807573634</v>
      </c>
    </row>
    <row r="35" spans="1:14">
      <c r="A35" s="64">
        <v>19</v>
      </c>
      <c r="B35" s="64">
        <v>24</v>
      </c>
      <c r="C35" s="118">
        <v>0</v>
      </c>
      <c r="D35" s="103">
        <f t="shared" si="0"/>
        <v>0</v>
      </c>
      <c r="E35" s="117">
        <f t="shared" si="1"/>
        <v>7.7908703928705378</v>
      </c>
      <c r="F35" s="103">
        <f t="shared" si="7"/>
        <v>1.9412027851093347E-2</v>
      </c>
      <c r="G35" s="103">
        <f t="shared" si="2"/>
        <v>161.98654652324362</v>
      </c>
      <c r="H35" s="103">
        <f t="shared" si="3"/>
        <v>25.7776172061177</v>
      </c>
      <c r="I35" s="118">
        <f>E35/Steuerung!$D$4</f>
        <v>0.32461959970293908</v>
      </c>
      <c r="J35" s="103">
        <f>F35/Steuerung!$D$2</f>
        <v>6.470675950364449E-3</v>
      </c>
      <c r="K35" s="57">
        <f>60*H35/Steuerung!$D$1</f>
        <v>0.51555234412235396</v>
      </c>
      <c r="L35" s="103">
        <f t="shared" si="4"/>
        <v>16.209129607129462</v>
      </c>
      <c r="M35" s="57">
        <f t="shared" si="5"/>
        <v>2.5920553031620622E-2</v>
      </c>
      <c r="N35" s="57">
        <f t="shared" si="6"/>
        <v>16.183209054097841</v>
      </c>
    </row>
    <row r="36" spans="1:14">
      <c r="A36" s="64">
        <v>20</v>
      </c>
      <c r="B36" s="64">
        <v>24</v>
      </c>
      <c r="C36" s="118">
        <v>0</v>
      </c>
      <c r="D36" s="103">
        <f t="shared" si="0"/>
        <v>0</v>
      </c>
      <c r="E36" s="117">
        <f t="shared" si="1"/>
        <v>7.7819333198245459</v>
      </c>
      <c r="F36" s="103">
        <f t="shared" si="7"/>
        <v>1.4537774507613163E-2</v>
      </c>
      <c r="G36" s="103">
        <f t="shared" si="2"/>
        <v>162.10221945853652</v>
      </c>
      <c r="H36" s="103">
        <f t="shared" si="3"/>
        <v>25.796024738786844</v>
      </c>
      <c r="I36" s="118">
        <f>E36/Steuerung!$D$4</f>
        <v>0.3242472216593561</v>
      </c>
      <c r="J36" s="103">
        <f>F36/Steuerung!$D$2</f>
        <v>4.8459248358710544E-3</v>
      </c>
      <c r="K36" s="57">
        <f>60*H36/Steuerung!$D$1</f>
        <v>0.51592049477573687</v>
      </c>
      <c r="L36" s="103">
        <f t="shared" si="4"/>
        <v>16.218066680175454</v>
      </c>
      <c r="M36" s="57">
        <f t="shared" si="5"/>
        <v>1.9412027851093347E-2</v>
      </c>
      <c r="N36" s="57">
        <f t="shared" si="6"/>
        <v>16.198654652324361</v>
      </c>
    </row>
    <row r="37" spans="1:14">
      <c r="A37" s="64">
        <v>21</v>
      </c>
      <c r="B37" s="64">
        <v>24</v>
      </c>
      <c r="C37" s="118">
        <v>0</v>
      </c>
      <c r="D37" s="103">
        <f t="shared" si="0"/>
        <v>0</v>
      </c>
      <c r="E37" s="117">
        <f t="shared" si="1"/>
        <v>7.7752402796387337</v>
      </c>
      <c r="F37" s="103">
        <f t="shared" si="7"/>
        <v>1.0887414955311876E-2</v>
      </c>
      <c r="G37" s="103">
        <f t="shared" si="2"/>
        <v>162.18884752151641</v>
      </c>
      <c r="H37" s="103">
        <f t="shared" si="3"/>
        <v>25.809810235760093</v>
      </c>
      <c r="I37" s="118">
        <f>E37/Steuerung!$D$4</f>
        <v>0.32396834498494725</v>
      </c>
      <c r="J37" s="103">
        <f>F37/Steuerung!$D$2</f>
        <v>3.6291383184372922E-3</v>
      </c>
      <c r="K37" s="57">
        <f>60*H37/Steuerung!$D$1</f>
        <v>0.51619620471520189</v>
      </c>
      <c r="L37" s="103">
        <f t="shared" si="4"/>
        <v>16.224759720361266</v>
      </c>
      <c r="M37" s="57">
        <f t="shared" si="5"/>
        <v>1.4537774507613163E-2</v>
      </c>
      <c r="N37" s="57">
        <f t="shared" si="6"/>
        <v>16.210221945853654</v>
      </c>
    </row>
    <row r="38" spans="1:14">
      <c r="A38" s="64">
        <v>22</v>
      </c>
      <c r="B38" s="64">
        <v>24</v>
      </c>
      <c r="C38" s="118">
        <v>0</v>
      </c>
      <c r="D38" s="103">
        <f t="shared" si="0"/>
        <v>0</v>
      </c>
      <c r="E38" s="117">
        <f t="shared" si="1"/>
        <v>7.7702278328930454</v>
      </c>
      <c r="F38" s="103">
        <f t="shared" si="7"/>
        <v>8.1536432145856482E-3</v>
      </c>
      <c r="G38" s="103">
        <f t="shared" si="2"/>
        <v>162.25372374060126</v>
      </c>
      <c r="H38" s="103">
        <f t="shared" si="3"/>
        <v>25.820134268077858</v>
      </c>
      <c r="I38" s="118">
        <f>E38/Steuerung!$D$4</f>
        <v>0.32375949303721024</v>
      </c>
      <c r="J38" s="103">
        <f>F38/Steuerung!$D$2</f>
        <v>2.7178810715285493E-3</v>
      </c>
      <c r="K38" s="57">
        <f>60*H38/Steuerung!$D$1</f>
        <v>0.51640268536155709</v>
      </c>
      <c r="L38" s="103">
        <f t="shared" si="4"/>
        <v>16.229772167106955</v>
      </c>
      <c r="M38" s="57">
        <f t="shared" si="5"/>
        <v>1.0887414955311876E-2</v>
      </c>
      <c r="N38" s="57">
        <f t="shared" si="6"/>
        <v>16.218884752151641</v>
      </c>
    </row>
    <row r="39" spans="1:14">
      <c r="A39" s="64">
        <v>23</v>
      </c>
      <c r="B39" s="64">
        <v>24</v>
      </c>
      <c r="C39" s="118">
        <v>0</v>
      </c>
      <c r="D39" s="103">
        <f t="shared" si="0"/>
        <v>0</v>
      </c>
      <c r="E39" s="117">
        <f t="shared" si="1"/>
        <v>7.7664739827252909</v>
      </c>
      <c r="F39" s="103">
        <f t="shared" si="7"/>
        <v>6.1063064316234511E-3</v>
      </c>
      <c r="G39" s="103">
        <f t="shared" si="2"/>
        <v>162.30230988343723</v>
      </c>
      <c r="H39" s="103">
        <f t="shared" si="3"/>
        <v>25.827865990362387</v>
      </c>
      <c r="I39" s="118">
        <f>E39/Steuerung!$D$4</f>
        <v>0.32360308261355381</v>
      </c>
      <c r="J39" s="103">
        <f>F39/Steuerung!$D$2</f>
        <v>2.035435477207817E-3</v>
      </c>
      <c r="K39" s="57">
        <f>60*H39/Steuerung!$D$1</f>
        <v>0.51655731980724773</v>
      </c>
      <c r="L39" s="103">
        <f t="shared" si="4"/>
        <v>16.233526017274709</v>
      </c>
      <c r="M39" s="57">
        <f t="shared" si="5"/>
        <v>8.1536432145856482E-3</v>
      </c>
      <c r="N39" s="57">
        <f t="shared" si="6"/>
        <v>16.225372374060125</v>
      </c>
    </row>
    <row r="40" spans="1:14">
      <c r="A40" s="64">
        <v>24</v>
      </c>
      <c r="B40" s="64">
        <v>24</v>
      </c>
      <c r="C40" s="118">
        <v>0</v>
      </c>
      <c r="D40" s="103">
        <f t="shared" si="0"/>
        <v>0</v>
      </c>
      <c r="E40" s="117">
        <f t="shared" si="1"/>
        <v>7.7636627052246538</v>
      </c>
      <c r="F40" s="103">
        <f t="shared" si="7"/>
        <v>4.5730452916746796E-3</v>
      </c>
      <c r="G40" s="103">
        <f t="shared" si="2"/>
        <v>162.3386963036447</v>
      </c>
      <c r="H40" s="103">
        <f t="shared" si="3"/>
        <v>25.833656318212078</v>
      </c>
      <c r="I40" s="118">
        <f>E40/Steuerung!$D$4</f>
        <v>0.32348594605102726</v>
      </c>
      <c r="J40" s="103">
        <f>F40/Steuerung!$D$2</f>
        <v>1.5243484305582265E-3</v>
      </c>
      <c r="K40" s="57">
        <f>60*H40/Steuerung!$D$1</f>
        <v>0.51667312636424156</v>
      </c>
      <c r="L40" s="103">
        <f t="shared" si="4"/>
        <v>16.236337294775346</v>
      </c>
      <c r="M40" s="57">
        <f t="shared" si="5"/>
        <v>6.1063064316234511E-3</v>
      </c>
      <c r="N40" s="57">
        <f t="shared" si="6"/>
        <v>16.230230988343724</v>
      </c>
    </row>
    <row r="41" spans="1:14">
      <c r="A41" s="64">
        <v>25</v>
      </c>
      <c r="B41" s="64">
        <v>24</v>
      </c>
      <c r="C41" s="118">
        <v>0.14299999999999999</v>
      </c>
      <c r="D41" s="103">
        <f t="shared" si="0"/>
        <v>-23.833333333333336</v>
      </c>
      <c r="E41" s="117">
        <f t="shared" si="1"/>
        <v>7.7615573243438547</v>
      </c>
      <c r="F41" s="103">
        <f t="shared" si="7"/>
        <v>3.4247778247384893E-3</v>
      </c>
      <c r="G41" s="103">
        <f t="shared" si="2"/>
        <v>138.53261295300342</v>
      </c>
      <c r="H41" s="103">
        <f t="shared" si="3"/>
        <v>22.045291685710286</v>
      </c>
      <c r="I41" s="118">
        <f>E41/Steuerung!$D$4</f>
        <v>0.32339822184766059</v>
      </c>
      <c r="J41" s="103">
        <f>F41/Steuerung!$D$2</f>
        <v>1.1415926082461632E-3</v>
      </c>
      <c r="K41" s="57">
        <f>60*H41/Steuerung!$D$1</f>
        <v>0.44090583371420566</v>
      </c>
      <c r="L41" s="103">
        <f t="shared" si="4"/>
        <v>16.238442675656145</v>
      </c>
      <c r="M41" s="57">
        <f t="shared" si="5"/>
        <v>4.5730452916746796E-3</v>
      </c>
      <c r="N41" s="57">
        <f t="shared" si="6"/>
        <v>16.23386963036447</v>
      </c>
    </row>
    <row r="42" spans="1:14">
      <c r="A42" s="64">
        <v>26</v>
      </c>
      <c r="B42" s="64">
        <v>24</v>
      </c>
      <c r="C42" s="118">
        <v>0.14299999999999999</v>
      </c>
      <c r="D42" s="103">
        <f t="shared" si="0"/>
        <v>-23.833333333333336</v>
      </c>
      <c r="E42" s="117">
        <f t="shared" si="1"/>
        <v>10.143313926874919</v>
      </c>
      <c r="F42" s="103">
        <f t="shared" si="7"/>
        <v>1.0144296125444674</v>
      </c>
      <c r="G42" s="103">
        <f t="shared" si="2"/>
        <v>122.77080740885268</v>
      </c>
      <c r="H42" s="103">
        <f t="shared" si="3"/>
        <v>19.537047646220987</v>
      </c>
      <c r="I42" s="118">
        <f>E42/Steuerung!$D$4</f>
        <v>0.42263808028645494</v>
      </c>
      <c r="J42" s="103">
        <f>F42/Steuerung!$D$2</f>
        <v>0.33814320418148913</v>
      </c>
      <c r="K42" s="57">
        <f>60*H42/Steuerung!$D$1</f>
        <v>0.39074095292441979</v>
      </c>
      <c r="L42" s="103">
        <f t="shared" si="4"/>
        <v>13.856686073125081</v>
      </c>
      <c r="M42" s="57">
        <f t="shared" si="5"/>
        <v>3.4247778247384893E-3</v>
      </c>
      <c r="N42" s="57">
        <f t="shared" si="6"/>
        <v>13.853261295300342</v>
      </c>
    </row>
    <row r="43" spans="1:14">
      <c r="A43" s="64">
        <v>27</v>
      </c>
      <c r="B43" s="64">
        <v>24</v>
      </c>
      <c r="C43" s="118">
        <v>0.14299999999999999</v>
      </c>
      <c r="D43" s="103">
        <f t="shared" si="0"/>
        <v>-23.833333333333336</v>
      </c>
      <c r="E43" s="117">
        <f t="shared" si="1"/>
        <v>10.708489646570264</v>
      </c>
      <c r="F43" s="103">
        <f t="shared" si="7"/>
        <v>1.4221331051875887</v>
      </c>
      <c r="G43" s="103">
        <f t="shared" si="2"/>
        <v>110.25298255091388</v>
      </c>
      <c r="H43" s="103">
        <f t="shared" si="3"/>
        <v>17.545032232799791</v>
      </c>
      <c r="I43" s="118">
        <f>E43/Steuerung!$D$4</f>
        <v>0.44618706860709434</v>
      </c>
      <c r="J43" s="103">
        <f>F43/Steuerung!$D$2</f>
        <v>0.47404436839586289</v>
      </c>
      <c r="K43" s="57">
        <f>60*H43/Steuerung!$D$1</f>
        <v>0.35090064465599585</v>
      </c>
      <c r="L43" s="103">
        <f t="shared" si="4"/>
        <v>13.291510353429736</v>
      </c>
      <c r="M43" s="57">
        <f t="shared" si="5"/>
        <v>1.0144296125444674</v>
      </c>
      <c r="N43" s="57">
        <f t="shared" si="6"/>
        <v>12.277080740885268</v>
      </c>
    </row>
    <row r="44" spans="1:14">
      <c r="A44" s="64">
        <v>28</v>
      </c>
      <c r="B44" s="64">
        <v>24</v>
      </c>
      <c r="C44" s="118">
        <v>0.14299999999999999</v>
      </c>
      <c r="D44" s="103">
        <f t="shared" si="0"/>
        <v>-23.833333333333336</v>
      </c>
      <c r="E44" s="117">
        <f t="shared" si="1"/>
        <v>11.552568639721022</v>
      </c>
      <c r="F44" s="103">
        <f t="shared" si="7"/>
        <v>1.848143261318514</v>
      </c>
      <c r="G44" s="103">
        <f t="shared" si="2"/>
        <v>101.12479929172531</v>
      </c>
      <c r="H44" s="103">
        <f t="shared" si="3"/>
        <v>16.092425094163801</v>
      </c>
      <c r="I44" s="118">
        <f>E44/Steuerung!$D$4</f>
        <v>0.4813570266550426</v>
      </c>
      <c r="J44" s="103">
        <f>F44/Steuerung!$D$2</f>
        <v>0.61604775377283805</v>
      </c>
      <c r="K44" s="57">
        <f>60*H44/Steuerung!$D$1</f>
        <v>0.32184850188327602</v>
      </c>
      <c r="L44" s="103">
        <f t="shared" si="4"/>
        <v>12.447431360278978</v>
      </c>
      <c r="M44" s="57">
        <f t="shared" si="5"/>
        <v>1.4221331051875887</v>
      </c>
      <c r="N44" s="57">
        <f t="shared" si="6"/>
        <v>11.025298255091389</v>
      </c>
    </row>
    <row r="45" spans="1:14">
      <c r="A45" s="64">
        <v>29</v>
      </c>
      <c r="B45" s="64">
        <v>24</v>
      </c>
      <c r="C45" s="118">
        <v>0.14299999999999999</v>
      </c>
      <c r="D45" s="103">
        <f t="shared" si="0"/>
        <v>-23.833333333333336</v>
      </c>
      <c r="E45" s="117">
        <f t="shared" si="1"/>
        <v>12.039376809508955</v>
      </c>
      <c r="F45" s="103">
        <f t="shared" si="7"/>
        <v>2.1255085739798072</v>
      </c>
      <c r="G45" s="103">
        <f t="shared" si="2"/>
        <v>94.203532906035264</v>
      </c>
      <c r="H45" s="103">
        <f t="shared" si="3"/>
        <v>14.99101414800052</v>
      </c>
      <c r="I45" s="118">
        <f>E45/Steuerung!$D$4</f>
        <v>0.50164070039620645</v>
      </c>
      <c r="J45" s="103">
        <f>F45/Steuerung!$D$2</f>
        <v>0.70850285799326906</v>
      </c>
      <c r="K45" s="57">
        <f>60*H45/Steuerung!$D$1</f>
        <v>0.2998202829600104</v>
      </c>
      <c r="L45" s="103">
        <f t="shared" si="4"/>
        <v>11.960623190491045</v>
      </c>
      <c r="M45" s="57">
        <f t="shared" si="5"/>
        <v>1.848143261318514</v>
      </c>
      <c r="N45" s="57">
        <f t="shared" si="6"/>
        <v>10.112479929172531</v>
      </c>
    </row>
    <row r="46" spans="1:14">
      <c r="A46" s="64">
        <v>30</v>
      </c>
      <c r="B46" s="64">
        <v>24</v>
      </c>
      <c r="C46" s="118">
        <v>0.14299999999999999</v>
      </c>
      <c r="D46" s="103">
        <f t="shared" si="0"/>
        <v>-23.833333333333336</v>
      </c>
      <c r="E46" s="117">
        <f t="shared" si="1"/>
        <v>12.454138135416665</v>
      </c>
      <c r="F46" s="103">
        <f t="shared" si="7"/>
        <v>2.3476215457265326</v>
      </c>
      <c r="G46" s="103">
        <f t="shared" si="2"/>
        <v>89.049556238253587</v>
      </c>
      <c r="H46" s="103">
        <f t="shared" si="3"/>
        <v>14.170839630530489</v>
      </c>
      <c r="I46" s="118">
        <f>E46/Steuerung!$D$4</f>
        <v>0.51892242230902774</v>
      </c>
      <c r="J46" s="103">
        <f>F46/Steuerung!$D$2</f>
        <v>0.78254051524217749</v>
      </c>
      <c r="K46" s="57">
        <f>60*H46/Steuerung!$D$1</f>
        <v>0.28341679261060981</v>
      </c>
      <c r="L46" s="103">
        <f t="shared" si="4"/>
        <v>11.545861864583335</v>
      </c>
      <c r="M46" s="57">
        <f t="shared" si="5"/>
        <v>2.1255085739798072</v>
      </c>
      <c r="N46" s="57">
        <f t="shared" si="6"/>
        <v>9.4203532906035274</v>
      </c>
    </row>
    <row r="47" spans="1:14">
      <c r="A47" s="64">
        <v>31</v>
      </c>
      <c r="B47" s="64">
        <v>24</v>
      </c>
      <c r="C47" s="118">
        <v>0.14299999999999999</v>
      </c>
      <c r="D47" s="103">
        <f t="shared" si="0"/>
        <v>-23.833333333333336</v>
      </c>
      <c r="E47" s="117">
        <f t="shared" si="1"/>
        <v>12.747422830448109</v>
      </c>
      <c r="F47" s="103">
        <f t="shared" si="7"/>
        <v>2.5089926942319156</v>
      </c>
      <c r="G47" s="103">
        <f t="shared" si="2"/>
        <v>85.179563883850193</v>
      </c>
      <c r="H47" s="103">
        <f t="shared" si="3"/>
        <v>13.554991069995257</v>
      </c>
      <c r="I47" s="118">
        <f>E47/Steuerung!$D$4</f>
        <v>0.5311426179353379</v>
      </c>
      <c r="J47" s="103">
        <f>F47/Steuerung!$D$2</f>
        <v>0.83633089807730521</v>
      </c>
      <c r="K47" s="57">
        <f>60*H47/Steuerung!$D$1</f>
        <v>0.27109982139990513</v>
      </c>
      <c r="L47" s="103">
        <f t="shared" si="4"/>
        <v>11.252577169551891</v>
      </c>
      <c r="M47" s="57">
        <f t="shared" si="5"/>
        <v>2.3476215457265326</v>
      </c>
      <c r="N47" s="57">
        <f t="shared" si="6"/>
        <v>8.9049556238253587</v>
      </c>
    </row>
    <row r="48" spans="1:14">
      <c r="A48" s="64">
        <v>32</v>
      </c>
      <c r="B48" s="64">
        <v>24</v>
      </c>
      <c r="C48" s="118">
        <v>0.14299999999999999</v>
      </c>
      <c r="D48" s="103">
        <f t="shared" si="0"/>
        <v>-23.833333333333336</v>
      </c>
      <c r="E48" s="117">
        <f t="shared" si="1"/>
        <v>12.973050917383064</v>
      </c>
      <c r="F48" s="103">
        <f t="shared" si="7"/>
        <v>2.6315609209026007</v>
      </c>
      <c r="G48" s="103">
        <f t="shared" si="2"/>
        <v>82.284812034464977</v>
      </c>
      <c r="H48" s="103">
        <f t="shared" si="3"/>
        <v>13.094336733683161</v>
      </c>
      <c r="I48" s="118">
        <f>E48/Steuerung!$D$4</f>
        <v>0.54054378822429439</v>
      </c>
      <c r="J48" s="103">
        <f>F48/Steuerung!$D$2</f>
        <v>0.87718697363420028</v>
      </c>
      <c r="K48" s="57">
        <f>60*H48/Steuerung!$D$1</f>
        <v>0.26188673467366325</v>
      </c>
      <c r="L48" s="103">
        <f t="shared" si="4"/>
        <v>11.026949082616936</v>
      </c>
      <c r="M48" s="57">
        <f t="shared" si="5"/>
        <v>2.5089926942319156</v>
      </c>
      <c r="N48" s="57">
        <f t="shared" si="6"/>
        <v>8.51795638838502</v>
      </c>
    </row>
    <row r="49" spans="1:14">
      <c r="A49" s="64">
        <v>33</v>
      </c>
      <c r="B49" s="64">
        <v>24</v>
      </c>
      <c r="C49" s="118">
        <v>0.14299999999999999</v>
      </c>
      <c r="D49" s="103">
        <f t="shared" si="0"/>
        <v>-23.833333333333336</v>
      </c>
      <c r="E49" s="117">
        <f t="shared" si="1"/>
        <v>13.139957875650902</v>
      </c>
      <c r="F49" s="103">
        <f t="shared" si="7"/>
        <v>2.7227601224090292</v>
      </c>
      <c r="G49" s="103">
        <f t="shared" si="2"/>
        <v>80.11570628236197</v>
      </c>
      <c r="H49" s="103">
        <f t="shared" si="3"/>
        <v>12.749157587899742</v>
      </c>
      <c r="I49" s="118">
        <f>E49/Steuerung!$D$4</f>
        <v>0.54749824481878762</v>
      </c>
      <c r="J49" s="103">
        <f>F49/Steuerung!$D$2</f>
        <v>0.9075867074696764</v>
      </c>
      <c r="K49" s="57">
        <f>60*H49/Steuerung!$D$1</f>
        <v>0.25498315175799485</v>
      </c>
      <c r="L49" s="103">
        <f t="shared" si="4"/>
        <v>10.860042124349098</v>
      </c>
      <c r="M49" s="57">
        <f t="shared" si="5"/>
        <v>2.6315609209026007</v>
      </c>
      <c r="N49" s="57">
        <f t="shared" si="6"/>
        <v>8.2284812034464974</v>
      </c>
    </row>
    <row r="50" spans="1:14">
      <c r="A50" s="64">
        <v>34</v>
      </c>
      <c r="B50" s="64">
        <v>24</v>
      </c>
      <c r="C50" s="118">
        <v>0.14299999999999999</v>
      </c>
      <c r="D50" s="103">
        <f t="shared" si="0"/>
        <v>-23.833333333333336</v>
      </c>
      <c r="E50" s="117">
        <f t="shared" si="1"/>
        <v>13.265669249354772</v>
      </c>
      <c r="F50" s="103">
        <f t="shared" si="7"/>
        <v>2.7912644061046468</v>
      </c>
      <c r="G50" s="103">
        <f t="shared" si="2"/>
        <v>78.491669623954209</v>
      </c>
      <c r="H50" s="103">
        <f t="shared" si="3"/>
        <v>12.490717635893414</v>
      </c>
      <c r="I50" s="118">
        <f>E50/Steuerung!$D$4</f>
        <v>0.55273621872311551</v>
      </c>
      <c r="J50" s="103">
        <f>F50/Steuerung!$D$2</f>
        <v>0.93042146870154896</v>
      </c>
      <c r="K50" s="57">
        <f>60*H50/Steuerung!$D$1</f>
        <v>0.24981435271786828</v>
      </c>
      <c r="L50" s="103">
        <f t="shared" si="4"/>
        <v>10.734330750645228</v>
      </c>
      <c r="M50" s="57">
        <f t="shared" si="5"/>
        <v>2.7227601224090292</v>
      </c>
      <c r="N50" s="57">
        <f t="shared" si="6"/>
        <v>8.011570628236198</v>
      </c>
    </row>
    <row r="51" spans="1:14">
      <c r="A51" s="64">
        <v>35</v>
      </c>
      <c r="B51" s="64">
        <v>24</v>
      </c>
      <c r="C51" s="118">
        <v>0.14299999999999999</v>
      </c>
      <c r="D51" s="103">
        <f t="shared" si="0"/>
        <v>-23.833333333333336</v>
      </c>
      <c r="E51" s="117">
        <f t="shared" si="1"/>
        <v>13.359568631499933</v>
      </c>
      <c r="F51" s="103">
        <f t="shared" si="7"/>
        <v>2.8424969283402328</v>
      </c>
      <c r="G51" s="103">
        <f t="shared" si="2"/>
        <v>77.27527556767555</v>
      </c>
      <c r="H51" s="103">
        <f t="shared" si="3"/>
        <v>12.297147607841431</v>
      </c>
      <c r="I51" s="118">
        <f>E51/Steuerung!$D$4</f>
        <v>0.55664869297916386</v>
      </c>
      <c r="J51" s="103">
        <f>F51/Steuerung!$D$2</f>
        <v>0.94749897611341094</v>
      </c>
      <c r="K51" s="57">
        <f>60*H51/Steuerung!$D$1</f>
        <v>0.24594295215682863</v>
      </c>
      <c r="L51" s="103">
        <f t="shared" si="4"/>
        <v>10.640431368500067</v>
      </c>
      <c r="M51" s="57">
        <f t="shared" si="5"/>
        <v>2.7912644061046468</v>
      </c>
      <c r="N51" s="57">
        <f t="shared" si="6"/>
        <v>7.8491669623954214</v>
      </c>
    </row>
    <row r="52" spans="1:14">
      <c r="A52" s="64">
        <v>36</v>
      </c>
      <c r="B52" s="64">
        <v>24</v>
      </c>
      <c r="C52" s="118">
        <v>0.14299999999999999</v>
      </c>
      <c r="D52" s="103">
        <f t="shared" si="0"/>
        <v>-23.833333333333336</v>
      </c>
      <c r="E52" s="117">
        <f t="shared" si="1"/>
        <v>13.429975514892213</v>
      </c>
      <c r="F52" s="103">
        <f t="shared" si="7"/>
        <v>2.8808896511609792</v>
      </c>
      <c r="G52" s="103">
        <f t="shared" si="2"/>
        <v>76.364361482917786</v>
      </c>
      <c r="H52" s="103">
        <f t="shared" si="3"/>
        <v>12.152189924079853</v>
      </c>
      <c r="I52" s="118">
        <f>E52/Steuerung!$D$4</f>
        <v>0.55958231312050888</v>
      </c>
      <c r="J52" s="103">
        <f>F52/Steuerung!$D$2</f>
        <v>0.96029655038699302</v>
      </c>
      <c r="K52" s="57">
        <f>60*H52/Steuerung!$D$1</f>
        <v>0.24304379848159705</v>
      </c>
      <c r="L52" s="103">
        <f t="shared" si="4"/>
        <v>10.570024485107787</v>
      </c>
      <c r="M52" s="57">
        <f t="shared" si="5"/>
        <v>2.8424969283402328</v>
      </c>
      <c r="N52" s="57">
        <f t="shared" si="6"/>
        <v>7.727527556767555</v>
      </c>
    </row>
    <row r="53" spans="1:14">
      <c r="A53" s="64">
        <v>37</v>
      </c>
      <c r="B53" s="64">
        <v>24</v>
      </c>
      <c r="C53" s="118">
        <v>0.14299999999999999</v>
      </c>
      <c r="D53" s="103">
        <f t="shared" si="0"/>
        <v>-23.833333333333336</v>
      </c>
      <c r="E53" s="117">
        <f t="shared" si="1"/>
        <v>13.482674200547242</v>
      </c>
      <c r="F53" s="103">
        <f t="shared" si="7"/>
        <v>2.9096337328661872</v>
      </c>
      <c r="G53" s="103">
        <f t="shared" si="2"/>
        <v>75.682155877673154</v>
      </c>
      <c r="H53" s="103">
        <f t="shared" si="3"/>
        <v>12.043627606249707</v>
      </c>
      <c r="I53" s="118">
        <f>E53/Steuerung!$D$4</f>
        <v>0.56177809168946846</v>
      </c>
      <c r="J53" s="103">
        <f>F53/Steuerung!$D$2</f>
        <v>0.96987791095539577</v>
      </c>
      <c r="K53" s="57">
        <f>60*H53/Steuerung!$D$1</f>
        <v>0.24087255212499414</v>
      </c>
      <c r="L53" s="103">
        <f t="shared" si="4"/>
        <v>10.517325799452758</v>
      </c>
      <c r="M53" s="57">
        <f t="shared" si="5"/>
        <v>2.8808896511609792</v>
      </c>
      <c r="N53" s="57">
        <f t="shared" si="6"/>
        <v>7.6364361482917786</v>
      </c>
    </row>
    <row r="54" spans="1:14">
      <c r="A54" s="64">
        <v>38</v>
      </c>
      <c r="B54" s="64">
        <v>24</v>
      </c>
      <c r="C54" s="118">
        <v>0.14299999999999999</v>
      </c>
      <c r="D54" s="103">
        <f t="shared" si="0"/>
        <v>-23.833333333333336</v>
      </c>
      <c r="E54" s="117">
        <f t="shared" si="1"/>
        <v>13.522150679366497</v>
      </c>
      <c r="F54" s="103">
        <f t="shared" si="7"/>
        <v>2.9311632398134004</v>
      </c>
      <c r="G54" s="103">
        <f t="shared" si="2"/>
        <v>75.171254433370677</v>
      </c>
      <c r="H54" s="103">
        <f t="shared" si="3"/>
        <v>11.962325657761088</v>
      </c>
      <c r="I54" s="118">
        <f>E54/Steuerung!$D$4</f>
        <v>0.56342294497360401</v>
      </c>
      <c r="J54" s="103">
        <f>F54/Steuerung!$D$2</f>
        <v>0.97705441327113352</v>
      </c>
      <c r="K54" s="57">
        <f>60*H54/Steuerung!$D$1</f>
        <v>0.23924651315522177</v>
      </c>
      <c r="L54" s="103">
        <f t="shared" si="4"/>
        <v>10.477849320633503</v>
      </c>
      <c r="M54" s="57">
        <f t="shared" si="5"/>
        <v>2.9096337328661872</v>
      </c>
      <c r="N54" s="57">
        <f t="shared" si="6"/>
        <v>7.5682155877673161</v>
      </c>
    </row>
    <row r="55" spans="1:14">
      <c r="A55" s="64">
        <v>39</v>
      </c>
      <c r="B55" s="64">
        <v>24</v>
      </c>
      <c r="C55" s="118">
        <v>0.14299999999999999</v>
      </c>
      <c r="D55" s="103">
        <f t="shared" si="0"/>
        <v>-23.833333333333336</v>
      </c>
      <c r="E55" s="117">
        <f t="shared" si="1"/>
        <v>13.551711316849531</v>
      </c>
      <c r="F55" s="103">
        <f t="shared" si="7"/>
        <v>2.9472857960093721</v>
      </c>
      <c r="G55" s="103">
        <f t="shared" si="2"/>
        <v>74.788635581334063</v>
      </c>
      <c r="H55" s="103">
        <f t="shared" si="3"/>
        <v>11.901437870995236</v>
      </c>
      <c r="I55" s="118">
        <f>E55/Steuerung!$D$4</f>
        <v>0.56465463820206374</v>
      </c>
      <c r="J55" s="103">
        <f>F55/Steuerung!$D$2</f>
        <v>0.98242859866979071</v>
      </c>
      <c r="K55" s="57">
        <f>60*H55/Steuerung!$D$1</f>
        <v>0.23802875741990473</v>
      </c>
      <c r="L55" s="103">
        <f t="shared" si="4"/>
        <v>10.448288683150469</v>
      </c>
      <c r="M55" s="57">
        <f t="shared" si="5"/>
        <v>2.9311632398134004</v>
      </c>
      <c r="N55" s="57">
        <f t="shared" si="6"/>
        <v>7.5171254433370684</v>
      </c>
    </row>
    <row r="56" spans="1:14">
      <c r="A56" s="64">
        <v>40</v>
      </c>
      <c r="B56" s="64">
        <v>24</v>
      </c>
      <c r="C56" s="118">
        <v>0.14299999999999999</v>
      </c>
      <c r="D56" s="103">
        <f t="shared" si="0"/>
        <v>-23.833333333333336</v>
      </c>
      <c r="E56" s="117">
        <f t="shared" si="1"/>
        <v>13.57385064585722</v>
      </c>
      <c r="F56" s="103">
        <f t="shared" si="7"/>
        <v>2.9593604110359495</v>
      </c>
      <c r="G56" s="103">
        <f t="shared" si="2"/>
        <v>74.502091005447795</v>
      </c>
      <c r="H56" s="103">
        <f t="shared" si="3"/>
        <v>11.855838797811552</v>
      </c>
      <c r="I56" s="118">
        <f>E56/Steuerung!$D$4</f>
        <v>0.56557711024405088</v>
      </c>
      <c r="J56" s="103">
        <f>F56/Steuerung!$D$2</f>
        <v>0.9864534703453165</v>
      </c>
      <c r="K56" s="57">
        <f>60*H56/Steuerung!$D$1</f>
        <v>0.23711677595623107</v>
      </c>
      <c r="L56" s="103">
        <f t="shared" si="4"/>
        <v>10.42614935414278</v>
      </c>
      <c r="M56" s="57">
        <f t="shared" si="5"/>
        <v>2.9472857960093721</v>
      </c>
      <c r="N56" s="57">
        <f t="shared" si="6"/>
        <v>7.4788635581334066</v>
      </c>
    </row>
    <row r="57" spans="1:14">
      <c r="A57" s="64">
        <v>41</v>
      </c>
      <c r="B57" s="64">
        <v>24</v>
      </c>
      <c r="C57" s="118">
        <v>0.14299999999999999</v>
      </c>
      <c r="D57" s="103">
        <f t="shared" si="0"/>
        <v>-23.833333333333336</v>
      </c>
      <c r="E57" s="117">
        <f t="shared" si="1"/>
        <v>13.590430488419271</v>
      </c>
      <c r="F57" s="103">
        <f t="shared" si="7"/>
        <v>2.9684030342614487</v>
      </c>
      <c r="G57" s="103">
        <f t="shared" si="2"/>
        <v>74.287496009649857</v>
      </c>
      <c r="H57" s="103">
        <f t="shared" si="3"/>
        <v>11.821689371363759</v>
      </c>
      <c r="I57" s="118">
        <f>E57/Steuerung!$D$4</f>
        <v>0.56626793701746958</v>
      </c>
      <c r="J57" s="103">
        <f>F57/Steuerung!$D$2</f>
        <v>0.98946767808714953</v>
      </c>
      <c r="K57" s="57">
        <f>60*H57/Steuerung!$D$1</f>
        <v>0.23643378742727517</v>
      </c>
      <c r="L57" s="103">
        <f t="shared" si="4"/>
        <v>10.409569511580729</v>
      </c>
      <c r="M57" s="57">
        <f t="shared" si="5"/>
        <v>2.9593604110359495</v>
      </c>
      <c r="N57" s="57">
        <f t="shared" si="6"/>
        <v>7.4502091005447797</v>
      </c>
    </row>
    <row r="58" spans="1:14">
      <c r="A58" s="64">
        <v>42</v>
      </c>
      <c r="B58" s="64">
        <v>24</v>
      </c>
      <c r="C58" s="118">
        <v>0.14299999999999999</v>
      </c>
      <c r="D58" s="103">
        <f t="shared" si="0"/>
        <v>-23.833333333333336</v>
      </c>
      <c r="E58" s="117">
        <f t="shared" si="1"/>
        <v>13.602847364773565</v>
      </c>
      <c r="F58" s="103">
        <f t="shared" si="7"/>
        <v>2.9751751441162355</v>
      </c>
      <c r="G58" s="103">
        <f t="shared" si="2"/>
        <v>74.126784765083499</v>
      </c>
      <c r="H58" s="103">
        <f t="shared" si="3"/>
        <v>11.796114698453772</v>
      </c>
      <c r="I58" s="118">
        <f>E58/Steuerung!$D$4</f>
        <v>0.56678530686556516</v>
      </c>
      <c r="J58" s="103">
        <f>F58/Steuerung!$D$2</f>
        <v>0.99172504803874517</v>
      </c>
      <c r="K58" s="57">
        <f>60*H58/Steuerung!$D$1</f>
        <v>0.23592229396907544</v>
      </c>
      <c r="L58" s="103">
        <f t="shared" si="4"/>
        <v>10.397152635226435</v>
      </c>
      <c r="M58" s="57">
        <f t="shared" si="5"/>
        <v>2.9684030342614487</v>
      </c>
      <c r="N58" s="57">
        <f t="shared" si="6"/>
        <v>7.428749600964986</v>
      </c>
    </row>
    <row r="59" spans="1:14">
      <c r="A59" s="64">
        <v>43</v>
      </c>
      <c r="B59" s="64">
        <v>24</v>
      </c>
      <c r="C59" s="118">
        <v>0.14299999999999999</v>
      </c>
      <c r="D59" s="103">
        <f t="shared" si="0"/>
        <v>-23.833333333333336</v>
      </c>
      <c r="E59" s="117">
        <f t="shared" si="1"/>
        <v>13.612146379375414</v>
      </c>
      <c r="F59" s="103">
        <f t="shared" si="7"/>
        <v>2.9802467987578414</v>
      </c>
      <c r="G59" s="103">
        <f t="shared" si="2"/>
        <v>74.006427233451632</v>
      </c>
      <c r="H59" s="103">
        <f t="shared" si="3"/>
        <v>11.776961685781609</v>
      </c>
      <c r="I59" s="118">
        <f>E59/Steuerung!$D$4</f>
        <v>0.56717276580730891</v>
      </c>
      <c r="J59" s="103">
        <f>F59/Steuerung!$D$2</f>
        <v>0.99341559958594716</v>
      </c>
      <c r="K59" s="57">
        <f>60*H59/Steuerung!$D$1</f>
        <v>0.23553923371563221</v>
      </c>
      <c r="L59" s="103">
        <f t="shared" si="4"/>
        <v>10.387853620624586</v>
      </c>
      <c r="M59" s="57">
        <f t="shared" si="5"/>
        <v>2.9751751441162355</v>
      </c>
      <c r="N59" s="57">
        <f t="shared" si="6"/>
        <v>7.4126784765083507</v>
      </c>
    </row>
    <row r="60" spans="1:14">
      <c r="A60" s="64">
        <v>44</v>
      </c>
      <c r="B60" s="64">
        <v>24</v>
      </c>
      <c r="C60" s="118">
        <v>0.14299999999999999</v>
      </c>
      <c r="D60" s="103">
        <f t="shared" si="0"/>
        <v>-23.833333333333336</v>
      </c>
      <c r="E60" s="117">
        <f t="shared" si="1"/>
        <v>13.619110477896996</v>
      </c>
      <c r="F60" s="103">
        <f t="shared" si="7"/>
        <v>2.9840449927255306</v>
      </c>
      <c r="G60" s="103">
        <f t="shared" si="2"/>
        <v>73.916290850512382</v>
      </c>
      <c r="H60" s="103">
        <f t="shared" si="3"/>
        <v>11.762617894734625</v>
      </c>
      <c r="I60" s="118">
        <f>E60/Steuerung!$D$4</f>
        <v>0.56746293657904145</v>
      </c>
      <c r="J60" s="103">
        <f>F60/Steuerung!$D$2</f>
        <v>0.99468166424184357</v>
      </c>
      <c r="K60" s="57">
        <f>60*H60/Steuerung!$D$1</f>
        <v>0.23525235789469248</v>
      </c>
      <c r="L60" s="103">
        <f t="shared" si="4"/>
        <v>10.380889522103004</v>
      </c>
      <c r="M60" s="57">
        <f t="shared" si="5"/>
        <v>2.9802467987578414</v>
      </c>
      <c r="N60" s="57">
        <f t="shared" si="6"/>
        <v>7.4006427233451637</v>
      </c>
    </row>
    <row r="61" spans="1:14">
      <c r="A61" s="64">
        <v>45</v>
      </c>
      <c r="B61" s="64">
        <v>24</v>
      </c>
      <c r="C61" s="118">
        <v>0.14299999999999999</v>
      </c>
      <c r="D61" s="103">
        <f t="shared" si="0"/>
        <v>-23.833333333333336</v>
      </c>
      <c r="E61" s="117">
        <f t="shared" si="1"/>
        <v>13.62432592222323</v>
      </c>
      <c r="F61" s="103">
        <f t="shared" si="7"/>
        <v>2.9868894786028108</v>
      </c>
      <c r="G61" s="103">
        <f t="shared" si="2"/>
        <v>73.848787232350986</v>
      </c>
      <c r="H61" s="103">
        <f t="shared" si="3"/>
        <v>11.751875753079407</v>
      </c>
      <c r="I61" s="118">
        <f>E61/Steuerung!$D$4</f>
        <v>0.56768024675930129</v>
      </c>
      <c r="J61" s="103">
        <f>F61/Steuerung!$D$2</f>
        <v>0.99562982620093698</v>
      </c>
      <c r="K61" s="57">
        <f>60*H61/Steuerung!$D$1</f>
        <v>0.23503751506158813</v>
      </c>
      <c r="L61" s="103">
        <f t="shared" si="4"/>
        <v>10.37567407777677</v>
      </c>
      <c r="M61" s="57">
        <f t="shared" si="5"/>
        <v>2.9840449927255306</v>
      </c>
      <c r="N61" s="57">
        <f t="shared" si="6"/>
        <v>7.3916290850512389</v>
      </c>
    </row>
    <row r="62" spans="1:14">
      <c r="A62" s="64">
        <v>46</v>
      </c>
      <c r="B62" s="64">
        <v>24</v>
      </c>
      <c r="C62" s="118">
        <v>0.14299999999999999</v>
      </c>
      <c r="D62" s="103">
        <f t="shared" si="0"/>
        <v>-23.833333333333336</v>
      </c>
      <c r="E62" s="117">
        <f t="shared" si="1"/>
        <v>13.628231798162091</v>
      </c>
      <c r="F62" s="103">
        <f t="shared" si="7"/>
        <v>2.9890197297339864</v>
      </c>
      <c r="G62" s="103">
        <f t="shared" si="2"/>
        <v>73.798233416315441</v>
      </c>
      <c r="H62" s="103">
        <f t="shared" si="3"/>
        <v>11.743830906479223</v>
      </c>
      <c r="I62" s="118">
        <f>E62/Steuerung!$D$4</f>
        <v>0.56784299159008711</v>
      </c>
      <c r="J62" s="103">
        <f>F62/Steuerung!$D$2</f>
        <v>0.99633990991132881</v>
      </c>
      <c r="K62" s="57">
        <f>60*H62/Steuerung!$D$1</f>
        <v>0.23487661812958446</v>
      </c>
      <c r="L62" s="103">
        <f t="shared" si="4"/>
        <v>10.371768201837909</v>
      </c>
      <c r="M62" s="57">
        <f t="shared" si="5"/>
        <v>2.9868894786028108</v>
      </c>
      <c r="N62" s="57">
        <f t="shared" si="6"/>
        <v>7.384878723235099</v>
      </c>
    </row>
    <row r="63" spans="1:14">
      <c r="A63" s="64">
        <v>47</v>
      </c>
      <c r="B63" s="64">
        <v>24</v>
      </c>
      <c r="C63" s="118">
        <v>0.14299999999999999</v>
      </c>
      <c r="D63" s="103">
        <f t="shared" si="0"/>
        <v>-23.833333333333336</v>
      </c>
      <c r="E63" s="117">
        <f t="shared" si="1"/>
        <v>13.63115692863447</v>
      </c>
      <c r="F63" s="103">
        <f t="shared" si="7"/>
        <v>2.9906150858875917</v>
      </c>
      <c r="G63" s="103">
        <f t="shared" si="2"/>
        <v>73.760373395264025</v>
      </c>
      <c r="H63" s="103">
        <f t="shared" si="3"/>
        <v>11.737806078176963</v>
      </c>
      <c r="I63" s="118">
        <f>E63/Steuerung!$D$4</f>
        <v>0.5679648720264362</v>
      </c>
      <c r="J63" s="103">
        <f>F63/Steuerung!$D$2</f>
        <v>0.99687169529586395</v>
      </c>
      <c r="K63" s="57">
        <f>60*H63/Steuerung!$D$1</f>
        <v>0.23475612156353926</v>
      </c>
      <c r="L63" s="103">
        <f t="shared" si="4"/>
        <v>10.36884307136553</v>
      </c>
      <c r="M63" s="57">
        <f t="shared" si="5"/>
        <v>2.9890197297339864</v>
      </c>
      <c r="N63" s="57">
        <f t="shared" si="6"/>
        <v>7.3798233416315444</v>
      </c>
    </row>
    <row r="64" spans="1:14">
      <c r="A64" s="64">
        <v>48</v>
      </c>
      <c r="B64" s="64">
        <v>24</v>
      </c>
      <c r="C64" s="118">
        <v>0.14299999999999999</v>
      </c>
      <c r="D64" s="103">
        <f t="shared" si="0"/>
        <v>-23.833333333333336</v>
      </c>
      <c r="E64" s="117">
        <f t="shared" si="1"/>
        <v>13.633347574586006</v>
      </c>
      <c r="F64" s="103">
        <f t="shared" si="7"/>
        <v>2.9918098566326239</v>
      </c>
      <c r="G64" s="103">
        <f t="shared" si="2"/>
        <v>73.732019825080158</v>
      </c>
      <c r="H64" s="103">
        <f t="shared" si="3"/>
        <v>11.733294052367944</v>
      </c>
      <c r="I64" s="118">
        <f>E64/Steuerung!$D$4</f>
        <v>0.56805614894108358</v>
      </c>
      <c r="J64" s="103">
        <f>F64/Steuerung!$D$2</f>
        <v>0.99726995221087467</v>
      </c>
      <c r="K64" s="57">
        <f>60*H64/Steuerung!$D$1</f>
        <v>0.23466588104735889</v>
      </c>
      <c r="L64" s="103">
        <f t="shared" si="4"/>
        <v>10.366652425413994</v>
      </c>
      <c r="M64" s="57">
        <f t="shared" si="5"/>
        <v>2.9906150858875917</v>
      </c>
      <c r="N64" s="57">
        <f t="shared" si="6"/>
        <v>7.3760373395264027</v>
      </c>
    </row>
    <row r="65" spans="1:14">
      <c r="A65" s="64">
        <v>49</v>
      </c>
      <c r="B65" s="64">
        <v>24</v>
      </c>
      <c r="C65" s="118">
        <v>0.14299999999999999</v>
      </c>
      <c r="D65" s="103">
        <f t="shared" si="0"/>
        <v>-23.833333333333336</v>
      </c>
      <c r="E65" s="117">
        <f t="shared" si="1"/>
        <v>13.634988160859359</v>
      </c>
      <c r="F65" s="103">
        <f t="shared" si="7"/>
        <v>2.9927046267485653</v>
      </c>
      <c r="G65" s="103">
        <f t="shared" si="2"/>
        <v>73.710785686117958</v>
      </c>
      <c r="H65" s="103">
        <f t="shared" si="3"/>
        <v>11.729914972329402</v>
      </c>
      <c r="I65" s="118">
        <f>E65/Steuerung!$D$4</f>
        <v>0.56812450670247328</v>
      </c>
      <c r="J65" s="103">
        <f>F65/Steuerung!$D$2</f>
        <v>0.99756820891618847</v>
      </c>
      <c r="K65" s="57">
        <f>60*H65/Steuerung!$D$1</f>
        <v>0.23459829944658805</v>
      </c>
      <c r="L65" s="103">
        <f t="shared" si="4"/>
        <v>10.365011839140641</v>
      </c>
      <c r="M65" s="57">
        <f t="shared" si="5"/>
        <v>2.9918098566326239</v>
      </c>
      <c r="N65" s="57">
        <f t="shared" si="6"/>
        <v>7.3732019825080162</v>
      </c>
    </row>
    <row r="66" spans="1:14">
      <c r="A66" s="64">
        <v>50</v>
      </c>
      <c r="B66" s="64">
        <v>24</v>
      </c>
      <c r="C66" s="118">
        <v>0.14299999999999999</v>
      </c>
      <c r="D66" s="103">
        <f t="shared" si="0"/>
        <v>-23.833333333333336</v>
      </c>
      <c r="E66" s="117">
        <f t="shared" si="1"/>
        <v>13.636216804639638</v>
      </c>
      <c r="F66" s="103">
        <f t="shared" si="7"/>
        <v>2.993374724836785</v>
      </c>
      <c r="G66" s="103">
        <f t="shared" si="2"/>
        <v>73.694883326979294</v>
      </c>
      <c r="H66" s="103">
        <f t="shared" si="3"/>
        <v>11.727384361390722</v>
      </c>
      <c r="I66" s="118">
        <f>E66/Steuerung!$D$4</f>
        <v>0.5681757001933182</v>
      </c>
      <c r="J66" s="103">
        <f>F66/Steuerung!$D$2</f>
        <v>0.99779157494559501</v>
      </c>
      <c r="K66" s="57">
        <f>60*H66/Steuerung!$D$1</f>
        <v>0.23454768722781444</v>
      </c>
      <c r="L66" s="103">
        <f t="shared" si="4"/>
        <v>10.363783195360362</v>
      </c>
      <c r="M66" s="57">
        <f t="shared" si="5"/>
        <v>2.9927046267485653</v>
      </c>
      <c r="N66" s="57">
        <f t="shared" si="6"/>
        <v>7.3710785686117966</v>
      </c>
    </row>
    <row r="67" spans="1:14">
      <c r="A67" s="64">
        <v>51</v>
      </c>
      <c r="B67" s="64">
        <v>24</v>
      </c>
      <c r="C67" s="118">
        <v>0.14299999999999999</v>
      </c>
      <c r="D67" s="103">
        <f t="shared" si="0"/>
        <v>-23.833333333333336</v>
      </c>
      <c r="E67" s="117">
        <f t="shared" si="1"/>
        <v>13.637136942465284</v>
      </c>
      <c r="F67" s="103">
        <f t="shared" si="7"/>
        <v>2.9938765648419743</v>
      </c>
      <c r="G67" s="103">
        <f t="shared" si="2"/>
        <v>73.682973965972309</v>
      </c>
      <c r="H67" s="103">
        <f t="shared" si="3"/>
        <v>11.72548917345199</v>
      </c>
      <c r="I67" s="118">
        <f>E67/Steuerung!$D$4</f>
        <v>0.56821403926938685</v>
      </c>
      <c r="J67" s="103">
        <f>F67/Steuerung!$D$2</f>
        <v>0.99795885494732472</v>
      </c>
      <c r="K67" s="57">
        <f>60*H67/Steuerung!$D$1</f>
        <v>0.23450978346903981</v>
      </c>
      <c r="L67" s="103">
        <f t="shared" si="4"/>
        <v>10.362863057534716</v>
      </c>
      <c r="M67" s="57">
        <f t="shared" si="5"/>
        <v>2.993374724836785</v>
      </c>
      <c r="N67" s="57">
        <f t="shared" si="6"/>
        <v>7.3694883326979301</v>
      </c>
    </row>
    <row r="68" spans="1:14">
      <c r="A68" s="64">
        <v>52</v>
      </c>
      <c r="B68" s="64">
        <v>24</v>
      </c>
      <c r="C68" s="118">
        <v>0.14299999999999999</v>
      </c>
      <c r="D68" s="103">
        <f t="shared" si="0"/>
        <v>-23.833333333333336</v>
      </c>
      <c r="E68" s="117">
        <f t="shared" si="1"/>
        <v>13.637826038560794</v>
      </c>
      <c r="F68" s="103">
        <f t="shared" si="7"/>
        <v>2.9942523954813387</v>
      </c>
      <c r="G68" s="103">
        <f t="shared" si="2"/>
        <v>73.674054982426838</v>
      </c>
      <c r="H68" s="103">
        <f t="shared" si="3"/>
        <v>11.724069857165315</v>
      </c>
      <c r="I68" s="118">
        <f>E68/Steuerung!$D$4</f>
        <v>0.56824275160669979</v>
      </c>
      <c r="J68" s="103">
        <f>F68/Steuerung!$D$2</f>
        <v>0.99808413182711286</v>
      </c>
      <c r="K68" s="57">
        <f>60*H68/Steuerung!$D$1</f>
        <v>0.23448139714330629</v>
      </c>
      <c r="L68" s="103">
        <f t="shared" si="4"/>
        <v>10.362173961439206</v>
      </c>
      <c r="M68" s="57">
        <f t="shared" si="5"/>
        <v>2.9938765648419743</v>
      </c>
      <c r="N68" s="57">
        <f t="shared" si="6"/>
        <v>7.3682973965972316</v>
      </c>
    </row>
    <row r="69" spans="1:14">
      <c r="A69" s="64">
        <v>53</v>
      </c>
      <c r="B69" s="64">
        <v>24</v>
      </c>
      <c r="C69" s="118">
        <v>0.14299999999999999</v>
      </c>
      <c r="D69" s="103">
        <f t="shared" si="0"/>
        <v>-23.833333333333336</v>
      </c>
      <c r="E69" s="117">
        <f t="shared" si="1"/>
        <v>13.638342106275978</v>
      </c>
      <c r="F69" s="103">
        <f t="shared" si="7"/>
        <v>2.9945338570377626</v>
      </c>
      <c r="G69" s="103">
        <f t="shared" si="2"/>
        <v>73.667375508400966</v>
      </c>
      <c r="H69" s="103">
        <f t="shared" si="3"/>
        <v>11.723006923679339</v>
      </c>
      <c r="I69" s="118">
        <f>E69/Steuerung!$D$4</f>
        <v>0.56826425442816575</v>
      </c>
      <c r="J69" s="103">
        <f>F69/Steuerung!$D$2</f>
        <v>0.99817795234592088</v>
      </c>
      <c r="K69" s="57">
        <f>60*H69/Steuerung!$D$1</f>
        <v>0.23446013847358677</v>
      </c>
      <c r="L69" s="103">
        <f t="shared" si="4"/>
        <v>10.361657893724022</v>
      </c>
      <c r="M69" s="57">
        <f t="shared" si="5"/>
        <v>2.9942523954813387</v>
      </c>
      <c r="N69" s="57">
        <f t="shared" si="6"/>
        <v>7.3674054982426842</v>
      </c>
    </row>
    <row r="70" spans="1:14">
      <c r="A70" s="64">
        <v>54</v>
      </c>
      <c r="B70" s="64">
        <v>24</v>
      </c>
      <c r="C70" s="118">
        <v>0.14299999999999999</v>
      </c>
      <c r="D70" s="103">
        <f t="shared" si="0"/>
        <v>-23.833333333333336</v>
      </c>
      <c r="E70" s="117">
        <f t="shared" si="1"/>
        <v>13.63872859212214</v>
      </c>
      <c r="F70" s="103">
        <f t="shared" si="7"/>
        <v>2.994744645088518</v>
      </c>
      <c r="G70" s="103">
        <f t="shared" si="2"/>
        <v>73.662373214918972</v>
      </c>
      <c r="H70" s="103">
        <f t="shared" si="3"/>
        <v>11.72221088716088</v>
      </c>
      <c r="I70" s="118">
        <f>E70/Steuerung!$D$4</f>
        <v>0.56828035800508914</v>
      </c>
      <c r="J70" s="103">
        <f>F70/Steuerung!$D$2</f>
        <v>0.998248215029506</v>
      </c>
      <c r="K70" s="57">
        <f>60*H70/Steuerung!$D$1</f>
        <v>0.23444421774321761</v>
      </c>
      <c r="L70" s="103">
        <f t="shared" si="4"/>
        <v>10.36127140787786</v>
      </c>
      <c r="M70" s="57">
        <f t="shared" si="5"/>
        <v>2.9945338570377626</v>
      </c>
      <c r="N70" s="57">
        <f t="shared" si="6"/>
        <v>7.3667375508400967</v>
      </c>
    </row>
    <row r="71" spans="1:14">
      <c r="A71" s="64">
        <v>55</v>
      </c>
      <c r="B71" s="64">
        <v>24</v>
      </c>
      <c r="C71" s="118">
        <v>0.14299999999999999</v>
      </c>
      <c r="D71" s="103">
        <f t="shared" si="0"/>
        <v>-23.833333333333336</v>
      </c>
      <c r="E71" s="117">
        <f t="shared" si="1"/>
        <v>13.639018033419584</v>
      </c>
      <c r="F71" s="103">
        <f t="shared" si="7"/>
        <v>2.9949025053763294</v>
      </c>
      <c r="G71" s="103">
        <f t="shared" si="2"/>
        <v>73.658626970830767</v>
      </c>
      <c r="H71" s="103">
        <f t="shared" si="3"/>
        <v>11.721614731195221</v>
      </c>
      <c r="I71" s="118">
        <f>E71/Steuerung!$D$4</f>
        <v>0.56829241805914932</v>
      </c>
      <c r="J71" s="103">
        <f>F71/Steuerung!$D$2</f>
        <v>0.9983008351254431</v>
      </c>
      <c r="K71" s="57">
        <f>60*H71/Steuerung!$D$1</f>
        <v>0.23443229462390441</v>
      </c>
      <c r="L71" s="103">
        <f t="shared" si="4"/>
        <v>10.360981966580416</v>
      </c>
      <c r="M71" s="57">
        <f t="shared" si="5"/>
        <v>2.994744645088518</v>
      </c>
      <c r="N71" s="57">
        <f t="shared" si="6"/>
        <v>7.3662373214918979</v>
      </c>
    </row>
    <row r="72" spans="1:14">
      <c r="A72" s="64">
        <v>56</v>
      </c>
      <c r="B72" s="64">
        <v>24</v>
      </c>
      <c r="C72" s="118">
        <v>0.14299999999999999</v>
      </c>
      <c r="D72" s="103">
        <f t="shared" si="0"/>
        <v>-23.833333333333336</v>
      </c>
      <c r="E72" s="117">
        <f t="shared" si="1"/>
        <v>13.639234797540594</v>
      </c>
      <c r="F72" s="103">
        <f t="shared" si="7"/>
        <v>2.995020727782145</v>
      </c>
      <c r="G72" s="103">
        <f t="shared" si="2"/>
        <v>73.655821388787558</v>
      </c>
      <c r="H72" s="103">
        <f t="shared" si="3"/>
        <v>11.721168266834431</v>
      </c>
      <c r="I72" s="118">
        <f>E72/Steuerung!$D$4</f>
        <v>0.56830144989752474</v>
      </c>
      <c r="J72" s="103">
        <f>F72/Steuerung!$D$2</f>
        <v>0.9983402425940483</v>
      </c>
      <c r="K72" s="57">
        <f>60*H72/Steuerung!$D$1</f>
        <v>0.23442336533668859</v>
      </c>
      <c r="L72" s="103">
        <f t="shared" si="4"/>
        <v>10.360765202459406</v>
      </c>
      <c r="M72" s="57">
        <f t="shared" si="5"/>
        <v>2.9949025053763294</v>
      </c>
      <c r="N72" s="57">
        <f t="shared" si="6"/>
        <v>7.3658626970830774</v>
      </c>
    </row>
    <row r="73" spans="1:14">
      <c r="A73" s="64">
        <v>57</v>
      </c>
      <c r="B73" s="64">
        <v>24</v>
      </c>
      <c r="C73" s="118">
        <v>0.14299999999999999</v>
      </c>
      <c r="D73" s="103">
        <f t="shared" si="0"/>
        <v>-23.833333333333336</v>
      </c>
      <c r="E73" s="117">
        <f t="shared" si="1"/>
        <v>13.639397133339099</v>
      </c>
      <c r="F73" s="103">
        <f t="shared" si="7"/>
        <v>2.9951092651681335</v>
      </c>
      <c r="G73" s="103">
        <f t="shared" si="2"/>
        <v>73.65372027353294</v>
      </c>
      <c r="H73" s="103">
        <f t="shared" si="3"/>
        <v>11.720833907309506</v>
      </c>
      <c r="I73" s="118">
        <f>E73/Steuerung!$D$4</f>
        <v>0.56830821388912911</v>
      </c>
      <c r="J73" s="103">
        <f>F73/Steuerung!$D$2</f>
        <v>0.99836975505604453</v>
      </c>
      <c r="K73" s="57">
        <f>60*H73/Steuerung!$D$1</f>
        <v>0.23441667814619013</v>
      </c>
      <c r="L73" s="103">
        <f t="shared" si="4"/>
        <v>10.360602866660901</v>
      </c>
      <c r="M73" s="57">
        <f t="shared" si="5"/>
        <v>2.995020727782145</v>
      </c>
      <c r="N73" s="57">
        <f t="shared" si="6"/>
        <v>7.3655821388787563</v>
      </c>
    </row>
    <row r="74" spans="1:14">
      <c r="A74" s="64">
        <v>58</v>
      </c>
      <c r="B74" s="64">
        <v>24</v>
      </c>
      <c r="C74" s="118">
        <f>3*C73</f>
        <v>0.42899999999999994</v>
      </c>
      <c r="D74" s="103">
        <f t="shared" si="0"/>
        <v>-71.5</v>
      </c>
      <c r="E74" s="117">
        <f t="shared" si="1"/>
        <v>13.639518707478572</v>
      </c>
      <c r="F74" s="103">
        <f t="shared" si="7"/>
        <v>2.9951755712855253</v>
      </c>
      <c r="G74" s="103">
        <f t="shared" si="2"/>
        <v>25.985480070521533</v>
      </c>
      <c r="H74" s="103">
        <f t="shared" si="3"/>
        <v>4.1351814243350624</v>
      </c>
      <c r="I74" s="118">
        <f>E74/Steuerung!$D$4</f>
        <v>0.56831327947827381</v>
      </c>
      <c r="J74" s="103">
        <f>F74/Steuerung!$D$2</f>
        <v>0.99839185709517508</v>
      </c>
      <c r="K74" s="57">
        <f>60*H74/Steuerung!$D$1</f>
        <v>8.270362848670125E-2</v>
      </c>
      <c r="L74" s="103">
        <f t="shared" si="4"/>
        <v>10.360481292521428</v>
      </c>
      <c r="M74" s="57">
        <f t="shared" si="5"/>
        <v>2.9951092651681335</v>
      </c>
      <c r="N74" s="57">
        <f t="shared" si="6"/>
        <v>7.3653720273532945</v>
      </c>
    </row>
    <row r="75" spans="1:14">
      <c r="A75" s="64">
        <v>59</v>
      </c>
      <c r="B75" s="64">
        <v>24</v>
      </c>
      <c r="C75" s="118">
        <v>0.42899999999999999</v>
      </c>
      <c r="D75" s="103">
        <f t="shared" si="0"/>
        <v>-71.5</v>
      </c>
      <c r="E75" s="117">
        <f t="shared" si="1"/>
        <v>18.406276421662319</v>
      </c>
      <c r="F75" s="103">
        <f t="shared" si="7"/>
        <v>5.0189547848522578</v>
      </c>
      <c r="G75" s="103">
        <f t="shared" si="2"/>
        <v>-5.5801247603803006</v>
      </c>
      <c r="H75" s="103">
        <f t="shared" si="3"/>
        <v>-0.88798929986955777</v>
      </c>
      <c r="I75" s="118">
        <f>E75/Steuerung!$D$4</f>
        <v>0.76692818423593001</v>
      </c>
      <c r="J75" s="103">
        <f>F75/Steuerung!$D$2</f>
        <v>1.6729849282840858</v>
      </c>
      <c r="K75" s="57">
        <f>60*H75/Steuerung!$D$1</f>
        <v>-1.7759785997391156E-2</v>
      </c>
      <c r="L75" s="103">
        <f t="shared" si="4"/>
        <v>5.5937235783376789</v>
      </c>
      <c r="M75" s="57">
        <f t="shared" si="5"/>
        <v>2.9951755712855253</v>
      </c>
      <c r="N75" s="57">
        <f t="shared" si="6"/>
        <v>2.5985480070521536</v>
      </c>
    </row>
    <row r="76" spans="1:14">
      <c r="A76" s="64">
        <v>60</v>
      </c>
      <c r="B76" s="64">
        <v>24</v>
      </c>
      <c r="C76" s="118">
        <v>0.42899999999999999</v>
      </c>
      <c r="D76" s="103">
        <f t="shared" si="0"/>
        <v>-71.5</v>
      </c>
      <c r="E76" s="117">
        <f t="shared" si="1"/>
        <v>19.539057691185771</v>
      </c>
      <c r="F76" s="103">
        <f t="shared" si="7"/>
        <v>5.8356869911278393</v>
      </c>
      <c r="G76" s="103">
        <f t="shared" si="2"/>
        <v>-30.647223812513978</v>
      </c>
      <c r="H76" s="103">
        <f t="shared" si="3"/>
        <v>-4.8770247951168013</v>
      </c>
      <c r="I76" s="118">
        <f>E76/Steuerung!$D$4</f>
        <v>0.81412740379940718</v>
      </c>
      <c r="J76" s="103">
        <f>F76/Steuerung!$D$2</f>
        <v>1.9452289970426131</v>
      </c>
      <c r="K76" s="57">
        <f>60*H76/Steuerung!$D$1</f>
        <v>-9.754049590233603E-2</v>
      </c>
      <c r="L76" s="103">
        <f t="shared" si="4"/>
        <v>4.4609423088142277</v>
      </c>
      <c r="M76" s="57">
        <f t="shared" si="5"/>
        <v>5.0189547848522578</v>
      </c>
      <c r="N76" s="57">
        <f t="shared" si="6"/>
        <v>-0.55801247603803006</v>
      </c>
    </row>
    <row r="77" spans="1:14">
      <c r="A77" s="64">
        <v>61</v>
      </c>
      <c r="B77" s="64">
        <v>24</v>
      </c>
      <c r="C77" s="118">
        <v>0.42899999999999999</v>
      </c>
      <c r="D77" s="103">
        <f t="shared" si="0"/>
        <v>-71.5</v>
      </c>
      <c r="E77" s="117">
        <f t="shared" si="1"/>
        <v>21.22903539012356</v>
      </c>
      <c r="F77" s="103">
        <f t="shared" si="7"/>
        <v>6.6886997684025769</v>
      </c>
      <c r="G77" s="103">
        <f t="shared" si="2"/>
        <v>-48.927142905427914</v>
      </c>
      <c r="H77" s="103">
        <f t="shared" si="3"/>
        <v>-7.7859870950712784</v>
      </c>
      <c r="I77" s="118">
        <f>E77/Steuerung!$D$4</f>
        <v>0.88454314125514832</v>
      </c>
      <c r="J77" s="103">
        <f>F77/Steuerung!$D$2</f>
        <v>2.2295665894675256</v>
      </c>
      <c r="K77" s="57">
        <f>60*H77/Steuerung!$D$1</f>
        <v>-0.15571974190142557</v>
      </c>
      <c r="L77" s="103">
        <f t="shared" si="4"/>
        <v>2.7709646098764411</v>
      </c>
      <c r="M77" s="57">
        <f t="shared" si="5"/>
        <v>5.8356869911278393</v>
      </c>
      <c r="N77" s="57">
        <f t="shared" si="6"/>
        <v>-3.0647223812513982</v>
      </c>
    </row>
    <row r="78" spans="1:14">
      <c r="A78" s="64">
        <v>62</v>
      </c>
      <c r="B78" s="64">
        <v>24</v>
      </c>
      <c r="C78" s="118">
        <v>0.42899999999999999</v>
      </c>
      <c r="D78" s="103">
        <f t="shared" si="0"/>
        <v>-71.5</v>
      </c>
      <c r="E78" s="117">
        <f t="shared" si="1"/>
        <v>22.204014522140213</v>
      </c>
      <c r="F78" s="103">
        <f t="shared" si="7"/>
        <v>7.2441736560330474</v>
      </c>
      <c r="G78" s="103">
        <f t="shared" si="2"/>
        <v>-62.787314324643006</v>
      </c>
      <c r="H78" s="103">
        <f t="shared" si="3"/>
        <v>-9.9916159014390526</v>
      </c>
      <c r="I78" s="118">
        <f>E78/Steuerung!$D$4</f>
        <v>0.92516727175584224</v>
      </c>
      <c r="J78" s="103">
        <f>F78/Steuerung!$D$2</f>
        <v>2.4147245520110157</v>
      </c>
      <c r="K78" s="57">
        <f>60*H78/Steuerung!$D$1</f>
        <v>-0.19983231802878107</v>
      </c>
      <c r="L78" s="103">
        <f t="shared" si="4"/>
        <v>1.7959854778597855</v>
      </c>
      <c r="M78" s="57">
        <f t="shared" si="5"/>
        <v>6.6886997684025769</v>
      </c>
      <c r="N78" s="57">
        <f t="shared" si="6"/>
        <v>-4.8927142905427914</v>
      </c>
    </row>
    <row r="79" spans="1:14">
      <c r="A79" s="64">
        <v>63</v>
      </c>
      <c r="B79" s="64">
        <v>24</v>
      </c>
      <c r="C79" s="118">
        <v>0.42899999999999999</v>
      </c>
      <c r="D79" s="103">
        <f t="shared" si="0"/>
        <v>-71.5</v>
      </c>
      <c r="E79" s="117">
        <f t="shared" si="1"/>
        <v>23.034557776431253</v>
      </c>
      <c r="F79" s="103">
        <f t="shared" si="7"/>
        <v>7.6889562326055216</v>
      </c>
      <c r="G79" s="103">
        <f t="shared" si="2"/>
        <v>-73.10847733701155</v>
      </c>
      <c r="H79" s="103">
        <f t="shared" si="3"/>
        <v>-11.634067049174339</v>
      </c>
      <c r="I79" s="118">
        <f>E79/Steuerung!$D$4</f>
        <v>0.95977324068463554</v>
      </c>
      <c r="J79" s="103">
        <f>F79/Steuerung!$D$2</f>
        <v>2.5629854108685071</v>
      </c>
      <c r="K79" s="57">
        <f>60*H79/Steuerung!$D$1</f>
        <v>-0.23268134098348678</v>
      </c>
      <c r="L79" s="103">
        <f t="shared" si="4"/>
        <v>0.96544222356874609</v>
      </c>
      <c r="M79" s="57">
        <f t="shared" si="5"/>
        <v>7.2441736560330474</v>
      </c>
      <c r="N79" s="57">
        <f t="shared" si="6"/>
        <v>-6.2787314324643013</v>
      </c>
    </row>
    <row r="80" spans="1:14">
      <c r="A80" s="64">
        <v>64</v>
      </c>
      <c r="B80" s="64">
        <v>24</v>
      </c>
      <c r="C80" s="118">
        <v>0.42899999999999999</v>
      </c>
      <c r="D80" s="103">
        <f t="shared" si="0"/>
        <v>-71.5</v>
      </c>
      <c r="E80" s="117">
        <f t="shared" si="1"/>
        <v>23.621891501095632</v>
      </c>
      <c r="F80" s="103">
        <f t="shared" si="7"/>
        <v>8.0121153950781689</v>
      </c>
      <c r="G80" s="103">
        <f t="shared" si="2"/>
        <v>-80.858354842754949</v>
      </c>
      <c r="H80" s="103">
        <f t="shared" si="3"/>
        <v>-12.86733845365292</v>
      </c>
      <c r="I80" s="118">
        <f>E80/Steuerung!$D$4</f>
        <v>0.98424547921231798</v>
      </c>
      <c r="J80" s="103">
        <f>F80/Steuerung!$D$2</f>
        <v>2.6707051316927228</v>
      </c>
      <c r="K80" s="57">
        <f>60*H80/Steuerung!$D$1</f>
        <v>-0.25734676907305842</v>
      </c>
      <c r="L80" s="103">
        <f t="shared" si="4"/>
        <v>0.37810849890436593</v>
      </c>
      <c r="M80" s="57">
        <f t="shared" si="5"/>
        <v>7.6889562326055216</v>
      </c>
      <c r="N80" s="57">
        <f t="shared" si="6"/>
        <v>-7.3108477337011557</v>
      </c>
    </row>
    <row r="81" spans="1:14">
      <c r="A81" s="64">
        <v>65</v>
      </c>
      <c r="B81" s="64">
        <v>24</v>
      </c>
      <c r="C81" s="118">
        <v>0.42899999999999999</v>
      </c>
      <c r="D81" s="103">
        <f t="shared" ref="D81:D115" si="8">C81*$M$12</f>
        <v>-71.5</v>
      </c>
      <c r="E81" s="117">
        <f t="shared" ref="E81:E115" si="9">B81-L81</f>
        <v>24.073720089197327</v>
      </c>
      <c r="F81" s="103">
        <f t="shared" si="7"/>
        <v>8.2575640411721807</v>
      </c>
      <c r="G81" s="103">
        <f t="shared" ref="G81:G115" si="10">$Q$6*F81+G80+D81</f>
        <v>-86.655267309558099</v>
      </c>
      <c r="H81" s="103">
        <f t="shared" ref="H81:H115" si="11">G81/$M$6</f>
        <v>-13.789826115461187</v>
      </c>
      <c r="I81" s="118">
        <f>E81/Steuerung!$D$4</f>
        <v>1.0030716703832219</v>
      </c>
      <c r="J81" s="103">
        <f>F81/Steuerung!$D$2</f>
        <v>2.7525213470573937</v>
      </c>
      <c r="K81" s="57">
        <f>60*H81/Steuerung!$D$1</f>
        <v>-0.27579652230922375</v>
      </c>
      <c r="L81" s="103">
        <f t="shared" ref="L81:L115" si="12">M81+N81</f>
        <v>-7.3720089197326644E-2</v>
      </c>
      <c r="M81" s="57">
        <f t="shared" ref="M81:M115" si="13">$M$8*F80</f>
        <v>8.0121153950781689</v>
      </c>
      <c r="N81" s="57">
        <f t="shared" ref="N81:N115" si="14">$M$9*G80</f>
        <v>-8.0858354842754956</v>
      </c>
    </row>
    <row r="82" spans="1:14">
      <c r="A82" s="64">
        <v>66</v>
      </c>
      <c r="B82" s="64">
        <v>24</v>
      </c>
      <c r="C82" s="118">
        <v>0.42899999999999999</v>
      </c>
      <c r="D82" s="103">
        <f t="shared" si="8"/>
        <v>-71.5</v>
      </c>
      <c r="E82" s="117">
        <f t="shared" si="9"/>
        <v>24.407962689783631</v>
      </c>
      <c r="F82" s="103">
        <f t="shared" ref="F82:F115" si="15">(F81 +$Q$8*E82 +$Q$5*G81)/$R$10</f>
        <v>8.4401962469913521</v>
      </c>
      <c r="G82" s="103">
        <f t="shared" si="10"/>
        <v>-90.999027279391385</v>
      </c>
      <c r="H82" s="103">
        <f t="shared" si="11"/>
        <v>-14.481067358273613</v>
      </c>
      <c r="I82" s="118">
        <f>E82/Steuerung!$D$4</f>
        <v>1.0169984454076513</v>
      </c>
      <c r="J82" s="103">
        <f>F82/Steuerung!$D$2</f>
        <v>2.8133987489971175</v>
      </c>
      <c r="K82" s="57">
        <f>60*H82/Steuerung!$D$1</f>
        <v>-0.28962134716547228</v>
      </c>
      <c r="L82" s="103">
        <f t="shared" si="12"/>
        <v>-0.40796268978362882</v>
      </c>
      <c r="M82" s="57">
        <f t="shared" si="13"/>
        <v>8.2575640411721807</v>
      </c>
      <c r="N82" s="57">
        <f t="shared" si="14"/>
        <v>-8.6655267309558095</v>
      </c>
    </row>
    <row r="83" spans="1:14">
      <c r="A83" s="64">
        <v>67</v>
      </c>
      <c r="B83" s="64">
        <v>24</v>
      </c>
      <c r="C83" s="118">
        <v>0.42899999999999999</v>
      </c>
      <c r="D83" s="103">
        <f t="shared" si="8"/>
        <v>-71.5</v>
      </c>
      <c r="E83" s="117">
        <f t="shared" si="9"/>
        <v>24.659706480947786</v>
      </c>
      <c r="F83" s="103">
        <f t="shared" si="15"/>
        <v>8.5773799105427848</v>
      </c>
      <c r="G83" s="103">
        <f t="shared" si="10"/>
        <v>-94.251255871507993</v>
      </c>
      <c r="H83" s="103">
        <f t="shared" si="11"/>
        <v>-14.998608509151495</v>
      </c>
      <c r="I83" s="118">
        <f>E83/Steuerung!$D$4</f>
        <v>1.0274877700394911</v>
      </c>
      <c r="J83" s="103">
        <f>F83/Steuerung!$D$2</f>
        <v>2.8591266368475949</v>
      </c>
      <c r="K83" s="57">
        <f>60*H83/Steuerung!$D$1</f>
        <v>-0.29997217018302991</v>
      </c>
      <c r="L83" s="103">
        <f t="shared" si="12"/>
        <v>-0.65970648094778639</v>
      </c>
      <c r="M83" s="57">
        <f t="shared" si="13"/>
        <v>8.4401962469913521</v>
      </c>
      <c r="N83" s="57">
        <f t="shared" si="14"/>
        <v>-9.0999027279391385</v>
      </c>
    </row>
    <row r="84" spans="1:14">
      <c r="A84" s="64">
        <v>68</v>
      </c>
      <c r="B84" s="64">
        <v>24</v>
      </c>
      <c r="C84" s="118">
        <v>0.42899999999999999</v>
      </c>
      <c r="D84" s="103">
        <f t="shared" si="8"/>
        <v>-71.5</v>
      </c>
      <c r="E84" s="117">
        <f t="shared" si="9"/>
        <v>24.847745676608014</v>
      </c>
      <c r="F84" s="103">
        <f t="shared" si="15"/>
        <v>8.6799760854558965</v>
      </c>
      <c r="G84" s="103">
        <f t="shared" si="10"/>
        <v>-96.687155891750706</v>
      </c>
      <c r="H84" s="103">
        <f t="shared" si="11"/>
        <v>-15.386243776535759</v>
      </c>
      <c r="I84" s="118">
        <f>E84/Steuerung!$D$4</f>
        <v>1.0353227365253339</v>
      </c>
      <c r="J84" s="103">
        <f>F84/Steuerung!$D$2</f>
        <v>2.8933253618186323</v>
      </c>
      <c r="K84" s="57">
        <f>60*H84/Steuerung!$D$1</f>
        <v>-0.30772487553071515</v>
      </c>
      <c r="L84" s="103">
        <f t="shared" si="12"/>
        <v>-0.84774567660801559</v>
      </c>
      <c r="M84" s="57">
        <f t="shared" si="13"/>
        <v>8.5773799105427848</v>
      </c>
      <c r="N84" s="57">
        <f t="shared" si="14"/>
        <v>-9.4251255871508004</v>
      </c>
    </row>
    <row r="85" spans="1:14">
      <c r="A85" s="64">
        <v>69</v>
      </c>
      <c r="B85" s="64">
        <v>24</v>
      </c>
      <c r="C85" s="118">
        <v>0.42899999999999999</v>
      </c>
      <c r="D85" s="103">
        <f t="shared" si="8"/>
        <v>-71.5</v>
      </c>
      <c r="E85" s="117">
        <f t="shared" si="9"/>
        <v>24.988739503719174</v>
      </c>
      <c r="F85" s="103">
        <f t="shared" si="15"/>
        <v>8.7568597353800168</v>
      </c>
      <c r="G85" s="103">
        <f t="shared" si="10"/>
        <v>-98.511314585417026</v>
      </c>
      <c r="H85" s="103">
        <f t="shared" si="11"/>
        <v>-15.676530010410094</v>
      </c>
      <c r="I85" s="118">
        <f>E85/Steuerung!$D$4</f>
        <v>1.0411974793216323</v>
      </c>
      <c r="J85" s="103">
        <f>F85/Steuerung!$D$2</f>
        <v>2.9189532451266724</v>
      </c>
      <c r="K85" s="57">
        <f>60*H85/Steuerung!$D$1</f>
        <v>-0.31353060020820189</v>
      </c>
      <c r="L85" s="103">
        <f t="shared" si="12"/>
        <v>-0.98873950371917552</v>
      </c>
      <c r="M85" s="57">
        <f t="shared" si="13"/>
        <v>8.6799760854558965</v>
      </c>
      <c r="N85" s="57">
        <f t="shared" si="14"/>
        <v>-9.668715589175072</v>
      </c>
    </row>
    <row r="86" spans="1:14">
      <c r="A86" s="64">
        <v>70</v>
      </c>
      <c r="B86" s="64">
        <v>24</v>
      </c>
      <c r="C86" s="118">
        <v>0.42899999999999999</v>
      </c>
      <c r="D86" s="103">
        <f t="shared" si="8"/>
        <v>-71.5</v>
      </c>
      <c r="E86" s="117">
        <f t="shared" si="9"/>
        <v>25.094271723161686</v>
      </c>
      <c r="F86" s="103">
        <f t="shared" si="15"/>
        <v>8.8144214444979276</v>
      </c>
      <c r="G86" s="103">
        <f t="shared" si="10"/>
        <v>-99.877471137788703</v>
      </c>
      <c r="H86" s="103">
        <f t="shared" si="11"/>
        <v>-15.893932389845434</v>
      </c>
      <c r="I86" s="118">
        <f>E86/Steuerung!$D$4</f>
        <v>1.045594655131737</v>
      </c>
      <c r="J86" s="103">
        <f>F86/Steuerung!$D$2</f>
        <v>2.9381404814993091</v>
      </c>
      <c r="K86" s="57">
        <f>60*H86/Steuerung!$D$1</f>
        <v>-0.31787864779690866</v>
      </c>
      <c r="L86" s="103">
        <f t="shared" si="12"/>
        <v>-1.0942717231616861</v>
      </c>
      <c r="M86" s="57">
        <f t="shared" si="13"/>
        <v>8.7568597353800168</v>
      </c>
      <c r="N86" s="57">
        <f t="shared" si="14"/>
        <v>-9.8511314585417029</v>
      </c>
    </row>
    <row r="87" spans="1:14">
      <c r="A87" s="64">
        <v>71</v>
      </c>
      <c r="B87" s="64">
        <v>24</v>
      </c>
      <c r="C87" s="118">
        <v>0.42899999999999999</v>
      </c>
      <c r="D87" s="103">
        <f t="shared" si="8"/>
        <v>-71.5</v>
      </c>
      <c r="E87" s="117">
        <f t="shared" si="9"/>
        <v>25.173325669280942</v>
      </c>
      <c r="F87" s="103">
        <f t="shared" si="15"/>
        <v>8.8575355371623026</v>
      </c>
      <c r="G87" s="103">
        <f t="shared" si="10"/>
        <v>-100.90058112217523</v>
      </c>
      <c r="H87" s="103">
        <f t="shared" si="11"/>
        <v>-16.056744290607135</v>
      </c>
      <c r="I87" s="118">
        <f>E87/Steuerung!$D$4</f>
        <v>1.0488885695533725</v>
      </c>
      <c r="J87" s="103">
        <f>F87/Steuerung!$D$2</f>
        <v>2.9525118457207675</v>
      </c>
      <c r="K87" s="57">
        <f>60*H87/Steuerung!$D$1</f>
        <v>-0.32113488581214272</v>
      </c>
      <c r="L87" s="103">
        <f t="shared" si="12"/>
        <v>-1.1733256692809437</v>
      </c>
      <c r="M87" s="57">
        <f t="shared" si="13"/>
        <v>8.8144214444979276</v>
      </c>
      <c r="N87" s="57">
        <f t="shared" si="14"/>
        <v>-9.9877471137788714</v>
      </c>
    </row>
    <row r="88" spans="1:14">
      <c r="A88" s="64">
        <v>72</v>
      </c>
      <c r="B88" s="64">
        <v>24</v>
      </c>
      <c r="C88" s="118">
        <v>0.42899999999999999</v>
      </c>
      <c r="D88" s="103">
        <f t="shared" si="8"/>
        <v>-71.5</v>
      </c>
      <c r="E88" s="117">
        <f t="shared" si="9"/>
        <v>25.232522575055221</v>
      </c>
      <c r="F88" s="103">
        <f t="shared" si="15"/>
        <v>8.8898218983368338</v>
      </c>
      <c r="G88" s="103">
        <f t="shared" si="10"/>
        <v>-101.66679771720361</v>
      </c>
      <c r="H88" s="103">
        <f t="shared" si="11"/>
        <v>-16.178675639274921</v>
      </c>
      <c r="I88" s="118">
        <f>E88/Steuerung!$D$4</f>
        <v>1.0513551072939675</v>
      </c>
      <c r="J88" s="103">
        <f>F88/Steuerung!$D$2</f>
        <v>2.9632739661122778</v>
      </c>
      <c r="K88" s="57">
        <f>60*H88/Steuerung!$D$1</f>
        <v>-0.3235735127854984</v>
      </c>
      <c r="L88" s="103">
        <f t="shared" si="12"/>
        <v>-1.2325225750552207</v>
      </c>
      <c r="M88" s="57">
        <f t="shared" si="13"/>
        <v>8.8575355371623026</v>
      </c>
      <c r="N88" s="57">
        <f t="shared" si="14"/>
        <v>-10.090058112217523</v>
      </c>
    </row>
    <row r="89" spans="1:14">
      <c r="A89" s="64">
        <v>73</v>
      </c>
      <c r="B89" s="64">
        <v>24</v>
      </c>
      <c r="C89" s="118">
        <v>0.42899999999999999</v>
      </c>
      <c r="D89" s="103">
        <f t="shared" si="8"/>
        <v>-71.5</v>
      </c>
      <c r="E89" s="117">
        <f t="shared" si="9"/>
        <v>25.276857873383527</v>
      </c>
      <c r="F89" s="103">
        <f t="shared" si="15"/>
        <v>8.9140020198217886</v>
      </c>
      <c r="G89" s="103">
        <f t="shared" si="10"/>
        <v>-102.24061996559803</v>
      </c>
      <c r="H89" s="103">
        <f t="shared" si="11"/>
        <v>-16.269990446466906</v>
      </c>
      <c r="I89" s="118">
        <f>E89/Steuerung!$D$4</f>
        <v>1.0532024113909804</v>
      </c>
      <c r="J89" s="103">
        <f>F89/Steuerung!$D$2</f>
        <v>2.9713340066072629</v>
      </c>
      <c r="K89" s="57">
        <f>60*H89/Steuerung!$D$1</f>
        <v>-0.32539980892933812</v>
      </c>
      <c r="L89" s="103">
        <f t="shared" si="12"/>
        <v>-1.276857873383527</v>
      </c>
      <c r="M89" s="57">
        <f t="shared" si="13"/>
        <v>8.8898218983368338</v>
      </c>
      <c r="N89" s="57">
        <f t="shared" si="14"/>
        <v>-10.166679771720361</v>
      </c>
    </row>
    <row r="90" spans="1:14">
      <c r="A90" s="64">
        <v>74</v>
      </c>
      <c r="B90" s="64">
        <v>24</v>
      </c>
      <c r="C90" s="118">
        <v>0.42899999999999999</v>
      </c>
      <c r="D90" s="103">
        <f t="shared" si="8"/>
        <v>-71.5</v>
      </c>
      <c r="E90" s="117">
        <f t="shared" si="9"/>
        <v>25.310059976738017</v>
      </c>
      <c r="F90" s="103">
        <f t="shared" si="15"/>
        <v>8.9321104010297017</v>
      </c>
      <c r="G90" s="103">
        <f t="shared" si="10"/>
        <v>-102.67035897713764</v>
      </c>
      <c r="H90" s="103">
        <f t="shared" si="11"/>
        <v>-16.338376667272062</v>
      </c>
      <c r="I90" s="118">
        <f>E90/Steuerung!$D$4</f>
        <v>1.054585832364084</v>
      </c>
      <c r="J90" s="103">
        <f>F90/Steuerung!$D$2</f>
        <v>2.9773701336765672</v>
      </c>
      <c r="K90" s="57">
        <f>60*H90/Steuerung!$D$1</f>
        <v>-0.32676753334544123</v>
      </c>
      <c r="L90" s="103">
        <f t="shared" si="12"/>
        <v>-1.3100599767380157</v>
      </c>
      <c r="M90" s="57">
        <f t="shared" si="13"/>
        <v>8.9140020198217886</v>
      </c>
      <c r="N90" s="57">
        <f t="shared" si="14"/>
        <v>-10.224061996559804</v>
      </c>
    </row>
    <row r="91" spans="1:14">
      <c r="A91" s="64">
        <v>75</v>
      </c>
      <c r="B91" s="64">
        <v>24</v>
      </c>
      <c r="C91" s="118">
        <v>0.42899999999999999</v>
      </c>
      <c r="D91" s="103">
        <f t="shared" si="8"/>
        <v>-71.5</v>
      </c>
      <c r="E91" s="117">
        <f t="shared" si="9"/>
        <v>25.334925496684065</v>
      </c>
      <c r="F91" s="103">
        <f t="shared" si="15"/>
        <v>8.9456719464812906</v>
      </c>
      <c r="G91" s="103">
        <f t="shared" si="10"/>
        <v>-102.99219263021457</v>
      </c>
      <c r="H91" s="103">
        <f t="shared" si="11"/>
        <v>-16.389591443382333</v>
      </c>
      <c r="I91" s="118">
        <f>E91/Steuerung!$D$4</f>
        <v>1.0556218956951693</v>
      </c>
      <c r="J91" s="103">
        <f>F91/Steuerung!$D$2</f>
        <v>2.9818906488270969</v>
      </c>
      <c r="K91" s="57">
        <f>60*H91/Steuerung!$D$1</f>
        <v>-0.32779182886764668</v>
      </c>
      <c r="L91" s="103">
        <f t="shared" si="12"/>
        <v>-1.3349254966840629</v>
      </c>
      <c r="M91" s="57">
        <f t="shared" si="13"/>
        <v>8.9321104010297017</v>
      </c>
      <c r="N91" s="57">
        <f t="shared" si="14"/>
        <v>-10.267035897713765</v>
      </c>
    </row>
    <row r="92" spans="1:14">
      <c r="A92" s="64">
        <v>76</v>
      </c>
      <c r="B92" s="64">
        <v>24</v>
      </c>
      <c r="C92" s="118">
        <v>0.42899999999999999</v>
      </c>
      <c r="D92" s="103">
        <f t="shared" si="8"/>
        <v>-71.5</v>
      </c>
      <c r="E92" s="117">
        <f t="shared" si="9"/>
        <v>25.353547316540165</v>
      </c>
      <c r="F92" s="103">
        <f t="shared" si="15"/>
        <v>8.955828231104471</v>
      </c>
      <c r="G92" s="103">
        <f t="shared" si="10"/>
        <v>-103.23321561633432</v>
      </c>
      <c r="H92" s="103">
        <f t="shared" si="11"/>
        <v>-16.427946469817684</v>
      </c>
      <c r="I92" s="118">
        <f>E92/Steuerung!$D$4</f>
        <v>1.0563978048558402</v>
      </c>
      <c r="J92" s="103">
        <f>F92/Steuerung!$D$2</f>
        <v>2.9852760770348237</v>
      </c>
      <c r="K92" s="57">
        <f>60*H92/Steuerung!$D$1</f>
        <v>-0.32855892939635367</v>
      </c>
      <c r="L92" s="103">
        <f t="shared" si="12"/>
        <v>-1.3535473165401672</v>
      </c>
      <c r="M92" s="57">
        <f t="shared" si="13"/>
        <v>8.9456719464812906</v>
      </c>
      <c r="N92" s="57">
        <f t="shared" si="14"/>
        <v>-10.299219263021458</v>
      </c>
    </row>
    <row r="93" spans="1:14">
      <c r="A93" s="64">
        <v>77</v>
      </c>
      <c r="B93" s="64">
        <v>24</v>
      </c>
      <c r="C93" s="118">
        <v>0.42899999999999999</v>
      </c>
      <c r="D93" s="103">
        <f t="shared" si="8"/>
        <v>-71.5</v>
      </c>
      <c r="E93" s="117">
        <f t="shared" si="9"/>
        <v>25.367493330528962</v>
      </c>
      <c r="F93" s="103">
        <f t="shared" si="15"/>
        <v>8.9634343363406952</v>
      </c>
      <c r="G93" s="103">
        <f t="shared" si="10"/>
        <v>-103.41371898727087</v>
      </c>
      <c r="H93" s="103">
        <f t="shared" si="11"/>
        <v>-16.4566707490883</v>
      </c>
      <c r="I93" s="118">
        <f>E93/Steuerung!$D$4</f>
        <v>1.0569788887720402</v>
      </c>
      <c r="J93" s="103">
        <f>F93/Steuerung!$D$2</f>
        <v>2.9878114454468983</v>
      </c>
      <c r="K93" s="57">
        <f>60*H93/Steuerung!$D$1</f>
        <v>-0.32913341498176601</v>
      </c>
      <c r="L93" s="103">
        <f t="shared" si="12"/>
        <v>-1.367493330528962</v>
      </c>
      <c r="M93" s="57">
        <f t="shared" si="13"/>
        <v>8.955828231104471</v>
      </c>
      <c r="N93" s="57">
        <f t="shared" si="14"/>
        <v>-10.323321561633433</v>
      </c>
    </row>
    <row r="94" spans="1:14">
      <c r="A94" s="64">
        <v>78</v>
      </c>
      <c r="B94" s="64">
        <v>24</v>
      </c>
      <c r="C94" s="118">
        <v>0.42899999999999999</v>
      </c>
      <c r="D94" s="103">
        <f t="shared" si="8"/>
        <v>-71.5</v>
      </c>
      <c r="E94" s="117">
        <f t="shared" si="9"/>
        <v>25.377937562386393</v>
      </c>
      <c r="F94" s="103">
        <f t="shared" si="15"/>
        <v>8.9691305854333372</v>
      </c>
      <c r="G94" s="103">
        <f t="shared" si="10"/>
        <v>-103.54889892494323</v>
      </c>
      <c r="H94" s="103">
        <f t="shared" si="11"/>
        <v>-16.478182515108728</v>
      </c>
      <c r="I94" s="118">
        <f>E94/Steuerung!$D$4</f>
        <v>1.057414065099433</v>
      </c>
      <c r="J94" s="103">
        <f>F94/Steuerung!$D$2</f>
        <v>2.9897101951444456</v>
      </c>
      <c r="K94" s="57">
        <f>60*H94/Steuerung!$D$1</f>
        <v>-0.32956365030217455</v>
      </c>
      <c r="L94" s="103">
        <f t="shared" si="12"/>
        <v>-1.3779375623863928</v>
      </c>
      <c r="M94" s="57">
        <f t="shared" si="13"/>
        <v>8.9634343363406952</v>
      </c>
      <c r="N94" s="57">
        <f t="shared" si="14"/>
        <v>-10.341371898727088</v>
      </c>
    </row>
    <row r="95" spans="1:14">
      <c r="A95" s="64">
        <v>79</v>
      </c>
      <c r="B95" s="64">
        <v>24</v>
      </c>
      <c r="C95" s="118">
        <v>0.42899999999999999</v>
      </c>
      <c r="D95" s="103">
        <f t="shared" si="8"/>
        <v>-71.5</v>
      </c>
      <c r="E95" s="117">
        <f t="shared" si="9"/>
        <v>25.385759307060987</v>
      </c>
      <c r="F95" s="103">
        <f t="shared" si="15"/>
        <v>8.9733965377327216</v>
      </c>
      <c r="G95" s="103">
        <f t="shared" si="10"/>
        <v>-103.65013589396995</v>
      </c>
      <c r="H95" s="103">
        <f t="shared" si="11"/>
        <v>-16.4942927902562</v>
      </c>
      <c r="I95" s="118">
        <f>E95/Steuerung!$D$4</f>
        <v>1.057739971127541</v>
      </c>
      <c r="J95" s="103">
        <f>F95/Steuerung!$D$2</f>
        <v>2.9911321792442407</v>
      </c>
      <c r="K95" s="57">
        <f>60*H95/Steuerung!$D$1</f>
        <v>-0.32988585580512397</v>
      </c>
      <c r="L95" s="103">
        <f t="shared" si="12"/>
        <v>-1.3857593070609866</v>
      </c>
      <c r="M95" s="57">
        <f t="shared" si="13"/>
        <v>8.9691305854333372</v>
      </c>
      <c r="N95" s="57">
        <f t="shared" si="14"/>
        <v>-10.354889892494324</v>
      </c>
    </row>
    <row r="96" spans="1:14">
      <c r="A96" s="64">
        <v>80</v>
      </c>
      <c r="B96" s="64">
        <v>24</v>
      </c>
      <c r="C96" s="118">
        <v>0.42899999999999999</v>
      </c>
      <c r="D96" s="103">
        <f t="shared" si="8"/>
        <v>-71.5</v>
      </c>
      <c r="E96" s="117">
        <f t="shared" si="9"/>
        <v>25.391617051664273</v>
      </c>
      <c r="F96" s="103">
        <f t="shared" si="15"/>
        <v>8.9765913316015453</v>
      </c>
      <c r="G96" s="103">
        <f t="shared" si="10"/>
        <v>-103.72595279720399</v>
      </c>
      <c r="H96" s="103">
        <f t="shared" si="11"/>
        <v>-16.50635786078994</v>
      </c>
      <c r="I96" s="118">
        <f>E96/Steuerung!$D$4</f>
        <v>1.0579840438193446</v>
      </c>
      <c r="J96" s="103">
        <f>F96/Steuerung!$D$2</f>
        <v>2.9921971105338483</v>
      </c>
      <c r="K96" s="57">
        <f>60*H96/Steuerung!$D$1</f>
        <v>-0.33012715721579883</v>
      </c>
      <c r="L96" s="103">
        <f t="shared" si="12"/>
        <v>-1.391617051664273</v>
      </c>
      <c r="M96" s="57">
        <f t="shared" si="13"/>
        <v>8.9733965377327216</v>
      </c>
      <c r="N96" s="57">
        <f t="shared" si="14"/>
        <v>-10.365013589396995</v>
      </c>
    </row>
    <row r="97" spans="1:14">
      <c r="A97" s="64">
        <v>81</v>
      </c>
      <c r="B97" s="64">
        <v>24</v>
      </c>
      <c r="C97" s="118">
        <v>0.42899999999999999</v>
      </c>
      <c r="D97" s="103">
        <f t="shared" si="8"/>
        <v>-71.5</v>
      </c>
      <c r="E97" s="117">
        <f t="shared" si="9"/>
        <v>25.396003948118853</v>
      </c>
      <c r="F97" s="103">
        <f t="shared" si="15"/>
        <v>8.9789839297947189</v>
      </c>
      <c r="G97" s="103">
        <f t="shared" si="10"/>
        <v>-103.78273247738605</v>
      </c>
      <c r="H97" s="103">
        <f t="shared" si="11"/>
        <v>-16.515393455981229</v>
      </c>
      <c r="I97" s="118">
        <f>E97/Steuerung!$D$4</f>
        <v>1.0581668311716188</v>
      </c>
      <c r="J97" s="103">
        <f>F97/Steuerung!$D$2</f>
        <v>2.9929946432649062</v>
      </c>
      <c r="K97" s="57">
        <f>60*H97/Steuerung!$D$1</f>
        <v>-0.33030786911962456</v>
      </c>
      <c r="L97" s="103">
        <f t="shared" si="12"/>
        <v>-1.3960039481188549</v>
      </c>
      <c r="M97" s="57">
        <f t="shared" si="13"/>
        <v>8.9765913316015453</v>
      </c>
      <c r="N97" s="57">
        <f t="shared" si="14"/>
        <v>-10.3725952797204</v>
      </c>
    </row>
    <row r="98" spans="1:14">
      <c r="A98" s="64">
        <v>82</v>
      </c>
      <c r="B98" s="64">
        <v>24</v>
      </c>
      <c r="C98" s="118">
        <v>0.42899999999999999</v>
      </c>
      <c r="D98" s="103">
        <f t="shared" si="8"/>
        <v>-71.5</v>
      </c>
      <c r="E98" s="117">
        <f t="shared" si="9"/>
        <v>25.399289317943886</v>
      </c>
      <c r="F98" s="103">
        <f t="shared" si="15"/>
        <v>8.9807757592077593</v>
      </c>
      <c r="G98" s="103">
        <f t="shared" si="10"/>
        <v>-103.82525508076161</v>
      </c>
      <c r="H98" s="103">
        <f t="shared" si="11"/>
        <v>-16.522160261101465</v>
      </c>
      <c r="I98" s="118">
        <f>E98/Steuerung!$D$4</f>
        <v>1.0583037215809952</v>
      </c>
      <c r="J98" s="103">
        <f>F98/Steuerung!$D$2</f>
        <v>2.9935919197359198</v>
      </c>
      <c r="K98" s="57">
        <f>60*H98/Steuerung!$D$1</f>
        <v>-0.3304432052220293</v>
      </c>
      <c r="L98" s="103">
        <f t="shared" si="12"/>
        <v>-1.3992893179438859</v>
      </c>
      <c r="M98" s="57">
        <f t="shared" si="13"/>
        <v>8.9789839297947189</v>
      </c>
      <c r="N98" s="57">
        <f t="shared" si="14"/>
        <v>-10.378273247738605</v>
      </c>
    </row>
    <row r="99" spans="1:14">
      <c r="A99" s="64">
        <v>83</v>
      </c>
      <c r="B99" s="64">
        <v>24</v>
      </c>
      <c r="C99" s="118">
        <v>0.42899999999999999</v>
      </c>
      <c r="D99" s="103">
        <f t="shared" si="8"/>
        <v>-71.5</v>
      </c>
      <c r="E99" s="117">
        <f t="shared" si="9"/>
        <v>25.401749748868404</v>
      </c>
      <c r="F99" s="103">
        <f t="shared" si="15"/>
        <v>8.9821176697640901</v>
      </c>
      <c r="G99" s="103">
        <f t="shared" si="10"/>
        <v>-103.85710048365713</v>
      </c>
      <c r="H99" s="103">
        <f t="shared" si="11"/>
        <v>-16.527227957297445</v>
      </c>
      <c r="I99" s="118">
        <f>E99/Steuerung!$D$4</f>
        <v>1.0584062395361835</v>
      </c>
      <c r="J99" s="103">
        <f>F99/Steuerung!$D$2</f>
        <v>2.9940392232546968</v>
      </c>
      <c r="K99" s="57">
        <f>60*H99/Steuerung!$D$1</f>
        <v>-0.33054455914594888</v>
      </c>
      <c r="L99" s="103">
        <f t="shared" si="12"/>
        <v>-1.4017497488684025</v>
      </c>
      <c r="M99" s="57">
        <f t="shared" si="13"/>
        <v>8.9807757592077593</v>
      </c>
      <c r="N99" s="57">
        <f t="shared" si="14"/>
        <v>-10.382525508076162</v>
      </c>
    </row>
    <row r="100" spans="1:14">
      <c r="A100" s="64">
        <v>84</v>
      </c>
      <c r="B100" s="64">
        <v>24</v>
      </c>
      <c r="C100" s="118">
        <v>0.42899999999999999</v>
      </c>
      <c r="D100" s="103">
        <f t="shared" si="8"/>
        <v>-71.5</v>
      </c>
      <c r="E100" s="117">
        <f t="shared" si="9"/>
        <v>25.403592378601623</v>
      </c>
      <c r="F100" s="103">
        <f t="shared" si="15"/>
        <v>8.9831226336826493</v>
      </c>
      <c r="G100" s="103">
        <f t="shared" si="10"/>
        <v>-103.88094967459723</v>
      </c>
      <c r="H100" s="103">
        <f t="shared" si="11"/>
        <v>-16.531023181826423</v>
      </c>
      <c r="I100" s="118">
        <f>E100/Steuerung!$D$4</f>
        <v>1.0584830157750675</v>
      </c>
      <c r="J100" s="103">
        <f>F100/Steuerung!$D$2</f>
        <v>2.9943742112275498</v>
      </c>
      <c r="K100" s="57">
        <f>60*H100/Steuerung!$D$1</f>
        <v>-0.33062046363652847</v>
      </c>
      <c r="L100" s="103">
        <f t="shared" si="12"/>
        <v>-1.4035923786016244</v>
      </c>
      <c r="M100" s="57">
        <f t="shared" si="13"/>
        <v>8.9821176697640901</v>
      </c>
      <c r="N100" s="57">
        <f t="shared" si="14"/>
        <v>-10.385710048365715</v>
      </c>
    </row>
    <row r="101" spans="1:14">
      <c r="A101" s="64">
        <v>85</v>
      </c>
      <c r="B101" s="64">
        <v>24</v>
      </c>
      <c r="C101" s="118">
        <v>0.42899999999999999</v>
      </c>
      <c r="D101" s="103">
        <f t="shared" si="8"/>
        <v>-71.5</v>
      </c>
      <c r="E101" s="117">
        <f t="shared" si="9"/>
        <v>25.404972333777074</v>
      </c>
      <c r="F101" s="103">
        <f t="shared" si="15"/>
        <v>8.983875256487023</v>
      </c>
      <c r="G101" s="103">
        <f t="shared" si="10"/>
        <v>-103.8988104600283</v>
      </c>
      <c r="H101" s="103">
        <f t="shared" si="11"/>
        <v>-16.53386544558057</v>
      </c>
      <c r="I101" s="118">
        <f>E101/Steuerung!$D$4</f>
        <v>1.058540513907378</v>
      </c>
      <c r="J101" s="103">
        <f>F101/Steuerung!$D$2</f>
        <v>2.9946250854956742</v>
      </c>
      <c r="K101" s="57">
        <f>60*H101/Steuerung!$D$1</f>
        <v>-0.3306773089116114</v>
      </c>
      <c r="L101" s="103">
        <f t="shared" si="12"/>
        <v>-1.4049723337770743</v>
      </c>
      <c r="M101" s="57">
        <f t="shared" si="13"/>
        <v>8.9831226336826493</v>
      </c>
      <c r="N101" s="57">
        <f t="shared" si="14"/>
        <v>-10.388094967459724</v>
      </c>
    </row>
    <row r="102" spans="1:14">
      <c r="A102" s="64">
        <v>86</v>
      </c>
      <c r="B102" s="64">
        <v>24</v>
      </c>
      <c r="C102" s="118">
        <v>0.42899999999999999</v>
      </c>
      <c r="D102" s="103">
        <f t="shared" si="8"/>
        <v>-71.5</v>
      </c>
      <c r="E102" s="117">
        <f t="shared" si="9"/>
        <v>25.40600578951581</v>
      </c>
      <c r="F102" s="103">
        <f t="shared" si="15"/>
        <v>8.9844388996915132</v>
      </c>
      <c r="G102" s="103">
        <f t="shared" si="10"/>
        <v>-103.91218649685585</v>
      </c>
      <c r="H102" s="103">
        <f t="shared" si="11"/>
        <v>-16.535994031963057</v>
      </c>
      <c r="I102" s="118">
        <f>E102/Steuerung!$D$4</f>
        <v>1.0585835745631587</v>
      </c>
      <c r="J102" s="103">
        <f>F102/Steuerung!$D$2</f>
        <v>2.9948129665638379</v>
      </c>
      <c r="K102" s="57">
        <f>60*H102/Steuerung!$D$1</f>
        <v>-0.33071988063926111</v>
      </c>
      <c r="L102" s="103">
        <f t="shared" si="12"/>
        <v>-1.4060057895158078</v>
      </c>
      <c r="M102" s="57">
        <f t="shared" si="13"/>
        <v>8.983875256487023</v>
      </c>
      <c r="N102" s="57">
        <f t="shared" si="14"/>
        <v>-10.389881046002831</v>
      </c>
    </row>
    <row r="103" spans="1:14">
      <c r="A103" s="64">
        <v>87</v>
      </c>
      <c r="B103" s="64">
        <v>24</v>
      </c>
      <c r="C103" s="118">
        <v>0.42899999999999999</v>
      </c>
      <c r="D103" s="103">
        <f t="shared" si="8"/>
        <v>-71.5</v>
      </c>
      <c r="E103" s="117">
        <f t="shared" si="9"/>
        <v>25.406779749994072</v>
      </c>
      <c r="F103" s="103">
        <f t="shared" si="15"/>
        <v>8.9848610150734718</v>
      </c>
      <c r="G103" s="103">
        <f t="shared" si="10"/>
        <v>-103.92220388169456</v>
      </c>
      <c r="H103" s="103">
        <f t="shared" si="11"/>
        <v>-16.53758814158093</v>
      </c>
      <c r="I103" s="118">
        <f>E103/Steuerung!$D$4</f>
        <v>1.0586158229164198</v>
      </c>
      <c r="J103" s="103">
        <f>F103/Steuerung!$D$2</f>
        <v>2.9949536716911571</v>
      </c>
      <c r="K103" s="57">
        <f>60*H103/Steuerung!$D$1</f>
        <v>-0.33075176283161861</v>
      </c>
      <c r="L103" s="103">
        <f t="shared" si="12"/>
        <v>-1.4067797499940724</v>
      </c>
      <c r="M103" s="57">
        <f t="shared" si="13"/>
        <v>8.9844388996915132</v>
      </c>
      <c r="N103" s="57">
        <f t="shared" si="14"/>
        <v>-10.391218649685586</v>
      </c>
    </row>
    <row r="104" spans="1:14">
      <c r="A104" s="64">
        <v>88</v>
      </c>
      <c r="B104" s="64">
        <v>24</v>
      </c>
      <c r="C104" s="118">
        <v>0.42899999999999999</v>
      </c>
      <c r="D104" s="103">
        <f t="shared" si="8"/>
        <v>-71.5</v>
      </c>
      <c r="E104" s="117">
        <f t="shared" si="9"/>
        <v>25.407359373095986</v>
      </c>
      <c r="F104" s="103">
        <f t="shared" si="15"/>
        <v>8.9851771395190791</v>
      </c>
      <c r="G104" s="103">
        <f t="shared" si="10"/>
        <v>-103.92970595426713</v>
      </c>
      <c r="H104" s="103">
        <f t="shared" si="11"/>
        <v>-16.538781978718514</v>
      </c>
      <c r="I104" s="118">
        <f>E104/Steuerung!$D$4</f>
        <v>1.0586399738789993</v>
      </c>
      <c r="J104" s="103">
        <f>F104/Steuerung!$D$2</f>
        <v>2.9950590465063596</v>
      </c>
      <c r="K104" s="57">
        <f>60*H104/Steuerung!$D$1</f>
        <v>-0.33077563957437028</v>
      </c>
      <c r="L104" s="103">
        <f t="shared" si="12"/>
        <v>-1.4073593730959839</v>
      </c>
      <c r="M104" s="57">
        <f t="shared" si="13"/>
        <v>8.9848610150734718</v>
      </c>
      <c r="N104" s="57">
        <f t="shared" si="14"/>
        <v>-10.392220388169456</v>
      </c>
    </row>
    <row r="105" spans="1:14">
      <c r="A105" s="64">
        <v>89</v>
      </c>
      <c r="B105" s="64">
        <v>24</v>
      </c>
      <c r="C105" s="118">
        <v>0.42899999999999999</v>
      </c>
      <c r="D105" s="103">
        <f t="shared" si="8"/>
        <v>-71.5</v>
      </c>
      <c r="E105" s="117">
        <f t="shared" si="9"/>
        <v>25.407793455907637</v>
      </c>
      <c r="F105" s="103">
        <f t="shared" si="15"/>
        <v>8.9854138867910791</v>
      </c>
      <c r="G105" s="103">
        <f t="shared" si="10"/>
        <v>-103.93532429615861</v>
      </c>
      <c r="H105" s="103">
        <f t="shared" si="11"/>
        <v>-16.539676049675144</v>
      </c>
      <c r="I105" s="118">
        <f>E105/Steuerung!$D$4</f>
        <v>1.0586580606628182</v>
      </c>
      <c r="J105" s="103">
        <f>F105/Steuerung!$D$2</f>
        <v>2.9951379622636929</v>
      </c>
      <c r="K105" s="57">
        <f>60*H105/Steuerung!$D$1</f>
        <v>-0.3307935209935029</v>
      </c>
      <c r="L105" s="103">
        <f t="shared" si="12"/>
        <v>-1.407793455907635</v>
      </c>
      <c r="M105" s="57">
        <f t="shared" si="13"/>
        <v>8.9851771395190791</v>
      </c>
      <c r="N105" s="57">
        <f t="shared" si="14"/>
        <v>-10.392970595426714</v>
      </c>
    </row>
    <row r="106" spans="1:14">
      <c r="A106" s="64">
        <v>90</v>
      </c>
      <c r="B106" s="64">
        <v>24</v>
      </c>
      <c r="C106" s="118">
        <v>0.42899999999999999</v>
      </c>
      <c r="D106" s="103">
        <f t="shared" si="8"/>
        <v>-71.5</v>
      </c>
      <c r="E106" s="117">
        <f t="shared" si="9"/>
        <v>25.408118542824781</v>
      </c>
      <c r="F106" s="103">
        <f t="shared" si="15"/>
        <v>8.9855911880772297</v>
      </c>
      <c r="G106" s="103">
        <f t="shared" si="10"/>
        <v>-103.93953190216411</v>
      </c>
      <c r="H106" s="103">
        <f t="shared" si="11"/>
        <v>-16.540345624150877</v>
      </c>
      <c r="I106" s="118">
        <f>E106/Steuerung!$D$4</f>
        <v>1.0586716059510326</v>
      </c>
      <c r="J106" s="103">
        <f>F106/Steuerung!$D$2</f>
        <v>2.99519706269241</v>
      </c>
      <c r="K106" s="57">
        <f>60*H106/Steuerung!$D$1</f>
        <v>-0.33080691248301752</v>
      </c>
      <c r="L106" s="103">
        <f t="shared" si="12"/>
        <v>-1.4081185428247824</v>
      </c>
      <c r="M106" s="57">
        <f t="shared" si="13"/>
        <v>8.9854138867910791</v>
      </c>
      <c r="N106" s="57">
        <f t="shared" si="14"/>
        <v>-10.393532429615862</v>
      </c>
    </row>
    <row r="107" spans="1:14">
      <c r="A107" s="64">
        <v>91</v>
      </c>
      <c r="B107" s="64">
        <v>24</v>
      </c>
      <c r="C107" s="118">
        <v>0.42899999999999999</v>
      </c>
      <c r="D107" s="103">
        <f t="shared" si="8"/>
        <v>-71.5</v>
      </c>
      <c r="E107" s="117">
        <f t="shared" si="9"/>
        <v>25.408362002139182</v>
      </c>
      <c r="F107" s="103">
        <f t="shared" si="15"/>
        <v>8.9857239699496798</v>
      </c>
      <c r="G107" s="103">
        <f t="shared" si="10"/>
        <v>-103.94268300059123</v>
      </c>
      <c r="H107" s="103">
        <f t="shared" si="11"/>
        <v>-16.540847072022792</v>
      </c>
      <c r="I107" s="118">
        <f>E107/Steuerung!$D$4</f>
        <v>1.0586817500891326</v>
      </c>
      <c r="J107" s="103">
        <f>F107/Steuerung!$D$2</f>
        <v>2.9952413233165598</v>
      </c>
      <c r="K107" s="57">
        <f>60*H107/Steuerung!$D$1</f>
        <v>-0.33081694144045587</v>
      </c>
      <c r="L107" s="103">
        <f t="shared" si="12"/>
        <v>-1.4083620021391816</v>
      </c>
      <c r="M107" s="57">
        <f t="shared" si="13"/>
        <v>8.9855911880772297</v>
      </c>
      <c r="N107" s="57">
        <f t="shared" si="14"/>
        <v>-10.393953190216411</v>
      </c>
    </row>
    <row r="108" spans="1:14">
      <c r="A108" s="64">
        <v>92</v>
      </c>
      <c r="B108" s="64">
        <v>24</v>
      </c>
      <c r="C108" s="118">
        <v>0.42899999999999999</v>
      </c>
      <c r="D108" s="103">
        <f t="shared" si="8"/>
        <v>-71.5</v>
      </c>
      <c r="E108" s="117">
        <f t="shared" si="9"/>
        <v>25.408544330109443</v>
      </c>
      <c r="F108" s="103">
        <f t="shared" si="15"/>
        <v>8.9858234109973587</v>
      </c>
      <c r="G108" s="103">
        <f t="shared" si="10"/>
        <v>-103.94504287489615</v>
      </c>
      <c r="H108" s="103">
        <f t="shared" si="11"/>
        <v>-16.541222608990477</v>
      </c>
      <c r="I108" s="118">
        <f>E108/Steuerung!$D$4</f>
        <v>1.0586893470878935</v>
      </c>
      <c r="J108" s="103">
        <f>F108/Steuerung!$D$2</f>
        <v>2.9952744703324528</v>
      </c>
      <c r="K108" s="57">
        <f>60*H108/Steuerung!$D$1</f>
        <v>-0.33082445217980955</v>
      </c>
      <c r="L108" s="103">
        <f t="shared" si="12"/>
        <v>-1.4085443301094447</v>
      </c>
      <c r="M108" s="57">
        <f t="shared" si="13"/>
        <v>8.9857239699496798</v>
      </c>
      <c r="N108" s="57">
        <f t="shared" si="14"/>
        <v>-10.394268300059124</v>
      </c>
    </row>
    <row r="109" spans="1:14">
      <c r="A109" s="64">
        <v>93</v>
      </c>
      <c r="B109" s="64">
        <v>24</v>
      </c>
      <c r="C109" s="118">
        <v>0.42899999999999999</v>
      </c>
      <c r="D109" s="103">
        <f t="shared" si="8"/>
        <v>-71.5</v>
      </c>
      <c r="E109" s="117">
        <f t="shared" si="9"/>
        <v>25.408680876492255</v>
      </c>
      <c r="F109" s="103">
        <f t="shared" si="15"/>
        <v>8.9858978829247551</v>
      </c>
      <c r="G109" s="103">
        <f t="shared" si="10"/>
        <v>-103.94681019726443</v>
      </c>
      <c r="H109" s="103">
        <f t="shared" si="11"/>
        <v>-16.541503850614962</v>
      </c>
      <c r="I109" s="118">
        <f>E109/Steuerung!$D$4</f>
        <v>1.0586950365205106</v>
      </c>
      <c r="J109" s="103">
        <f>F109/Steuerung!$D$2</f>
        <v>2.9952992943082517</v>
      </c>
      <c r="K109" s="57">
        <f>60*H109/Steuerung!$D$1</f>
        <v>-0.33083007701229927</v>
      </c>
      <c r="L109" s="103">
        <f t="shared" si="12"/>
        <v>-1.4086808764922569</v>
      </c>
      <c r="M109" s="57">
        <f t="shared" si="13"/>
        <v>8.9858234109973587</v>
      </c>
      <c r="N109" s="57">
        <f t="shared" si="14"/>
        <v>-10.394504287489616</v>
      </c>
    </row>
    <row r="110" spans="1:14">
      <c r="A110" s="64">
        <v>94</v>
      </c>
      <c r="B110" s="64">
        <v>24</v>
      </c>
      <c r="C110" s="118">
        <v>0.42899999999999999</v>
      </c>
      <c r="D110" s="103">
        <f t="shared" si="8"/>
        <v>-71.5</v>
      </c>
      <c r="E110" s="117">
        <f t="shared" si="9"/>
        <v>25.408783136801688</v>
      </c>
      <c r="F110" s="103">
        <f t="shared" si="15"/>
        <v>8.9859536553456927</v>
      </c>
      <c r="G110" s="103">
        <f t="shared" si="10"/>
        <v>-103.94813375434835</v>
      </c>
      <c r="H110" s="103">
        <f t="shared" si="11"/>
        <v>-16.541714473957409</v>
      </c>
      <c r="I110" s="118">
        <f>E110/Steuerung!$D$4</f>
        <v>1.0586992973667371</v>
      </c>
      <c r="J110" s="103">
        <f>F110/Steuerung!$D$2</f>
        <v>2.9953178851152309</v>
      </c>
      <c r="K110" s="57">
        <f>60*H110/Steuerung!$D$1</f>
        <v>-0.33083428947914817</v>
      </c>
      <c r="L110" s="103">
        <f t="shared" si="12"/>
        <v>-1.4087831368016879</v>
      </c>
      <c r="M110" s="57">
        <f t="shared" si="13"/>
        <v>8.9858978829247551</v>
      </c>
      <c r="N110" s="57">
        <f t="shared" si="14"/>
        <v>-10.394681019726443</v>
      </c>
    </row>
    <row r="111" spans="1:14">
      <c r="A111" s="64">
        <v>95</v>
      </c>
      <c r="B111" s="64">
        <v>24</v>
      </c>
      <c r="C111" s="118">
        <v>0.42899999999999999</v>
      </c>
      <c r="D111" s="103">
        <f t="shared" si="8"/>
        <v>-71.5</v>
      </c>
      <c r="E111" s="117">
        <f t="shared" si="9"/>
        <v>25.408859720089144</v>
      </c>
      <c r="F111" s="103">
        <f t="shared" si="15"/>
        <v>8.985995423607184</v>
      </c>
      <c r="G111" s="103">
        <f t="shared" si="10"/>
        <v>-103.94912497326</v>
      </c>
      <c r="H111" s="103">
        <f t="shared" si="11"/>
        <v>-16.541872210894336</v>
      </c>
      <c r="I111" s="118">
        <f>E111/Steuerung!$D$4</f>
        <v>1.0587024883370477</v>
      </c>
      <c r="J111" s="103">
        <f>F111/Steuerung!$D$2</f>
        <v>2.9953318078690612</v>
      </c>
      <c r="K111" s="57">
        <f>60*H111/Steuerung!$D$1</f>
        <v>-0.33083744421788674</v>
      </c>
      <c r="L111" s="103">
        <f t="shared" si="12"/>
        <v>-1.4088597200891435</v>
      </c>
      <c r="M111" s="57">
        <f t="shared" si="13"/>
        <v>8.9859536553456927</v>
      </c>
      <c r="N111" s="57">
        <f t="shared" si="14"/>
        <v>-10.394813375434836</v>
      </c>
    </row>
    <row r="112" spans="1:14">
      <c r="A112" s="64">
        <v>96</v>
      </c>
      <c r="B112" s="64">
        <v>24</v>
      </c>
      <c r="C112" s="118">
        <v>0.42899999999999999</v>
      </c>
      <c r="D112" s="103">
        <f t="shared" si="8"/>
        <v>-71.5</v>
      </c>
      <c r="E112" s="117">
        <f t="shared" si="9"/>
        <v>25.408917073718818</v>
      </c>
      <c r="F112" s="103">
        <f t="shared" si="15"/>
        <v>8.9860267040794835</v>
      </c>
      <c r="G112" s="103">
        <f t="shared" si="10"/>
        <v>-103.94986730235387</v>
      </c>
      <c r="H112" s="103">
        <f t="shared" si="11"/>
        <v>-16.541990340922002</v>
      </c>
      <c r="I112" s="118">
        <f>E112/Steuerung!$D$4</f>
        <v>1.0587048780716175</v>
      </c>
      <c r="J112" s="103">
        <f>F112/Steuerung!$D$2</f>
        <v>2.9953422346931613</v>
      </c>
      <c r="K112" s="57">
        <f>60*H112/Steuerung!$D$1</f>
        <v>-0.33083980681844005</v>
      </c>
      <c r="L112" s="103">
        <f t="shared" si="12"/>
        <v>-1.4089170737188166</v>
      </c>
      <c r="M112" s="57">
        <f t="shared" si="13"/>
        <v>8.985995423607184</v>
      </c>
      <c r="N112" s="57">
        <f t="shared" si="14"/>
        <v>-10.394912497326001</v>
      </c>
    </row>
    <row r="113" spans="1:14">
      <c r="A113" s="64">
        <v>97</v>
      </c>
      <c r="B113" s="64">
        <v>24</v>
      </c>
      <c r="C113" s="118">
        <v>0.42899999999999999</v>
      </c>
      <c r="D113" s="103">
        <f t="shared" si="8"/>
        <v>-71.5</v>
      </c>
      <c r="E113" s="117">
        <f t="shared" si="9"/>
        <v>25.408960026155903</v>
      </c>
      <c r="F113" s="103">
        <f t="shared" si="15"/>
        <v>8.9860501301908933</v>
      </c>
      <c r="G113" s="103">
        <f t="shared" si="10"/>
        <v>-103.95042323654472</v>
      </c>
      <c r="H113" s="103">
        <f t="shared" si="11"/>
        <v>-16.542078809125513</v>
      </c>
      <c r="I113" s="118">
        <f>E113/Steuerung!$D$4</f>
        <v>1.058706667756496</v>
      </c>
      <c r="J113" s="103">
        <f>F113/Steuerung!$D$2</f>
        <v>2.9953500433969644</v>
      </c>
      <c r="K113" s="57">
        <f>60*H113/Steuerung!$D$1</f>
        <v>-0.33084157618251026</v>
      </c>
      <c r="L113" s="103">
        <f t="shared" si="12"/>
        <v>-1.4089600261559045</v>
      </c>
      <c r="M113" s="57">
        <f t="shared" si="13"/>
        <v>8.9860267040794835</v>
      </c>
      <c r="N113" s="57">
        <f t="shared" si="14"/>
        <v>-10.394986730235388</v>
      </c>
    </row>
    <row r="114" spans="1:14">
      <c r="A114" s="64">
        <v>98</v>
      </c>
      <c r="B114" s="64">
        <v>24</v>
      </c>
      <c r="C114" s="118">
        <v>0.42899999999999999</v>
      </c>
      <c r="D114" s="103">
        <f t="shared" si="8"/>
        <v>-71.5</v>
      </c>
      <c r="E114" s="117">
        <f t="shared" si="9"/>
        <v>25.408992193463579</v>
      </c>
      <c r="F114" s="103">
        <f t="shared" si="15"/>
        <v>8.986067674129826</v>
      </c>
      <c r="G114" s="103">
        <f t="shared" si="10"/>
        <v>-103.95083957860531</v>
      </c>
      <c r="H114" s="103">
        <f t="shared" si="11"/>
        <v>-16.542145063431782</v>
      </c>
      <c r="I114" s="118">
        <f>E114/Steuerung!$D$4</f>
        <v>1.0587080080609825</v>
      </c>
      <c r="J114" s="103">
        <f>F114/Steuerung!$D$2</f>
        <v>2.9953558913766085</v>
      </c>
      <c r="K114" s="57">
        <f>60*H114/Steuerung!$D$1</f>
        <v>-0.33084290126863564</v>
      </c>
      <c r="L114" s="103">
        <f t="shared" si="12"/>
        <v>-1.408992193463579</v>
      </c>
      <c r="M114" s="57">
        <f t="shared" si="13"/>
        <v>8.9860501301908933</v>
      </c>
      <c r="N114" s="57">
        <f t="shared" si="14"/>
        <v>-10.395042323654472</v>
      </c>
    </row>
    <row r="115" spans="1:14">
      <c r="A115" s="64">
        <v>99</v>
      </c>
      <c r="B115" s="64">
        <v>24</v>
      </c>
      <c r="C115" s="118">
        <v>0.42899999999999999</v>
      </c>
      <c r="D115" s="103">
        <f t="shared" si="8"/>
        <v>-71.5</v>
      </c>
      <c r="E115" s="117">
        <f t="shared" si="9"/>
        <v>25.409016283730708</v>
      </c>
      <c r="F115" s="103">
        <f t="shared" si="15"/>
        <v>8.9860808128786349</v>
      </c>
      <c r="G115" s="103">
        <f t="shared" si="10"/>
        <v>-103.95115137938002</v>
      </c>
      <c r="H115" s="103">
        <f t="shared" si="11"/>
        <v>-16.542194681632722</v>
      </c>
      <c r="I115" s="118">
        <f>E115/Steuerung!$D$4</f>
        <v>1.0587090118221127</v>
      </c>
      <c r="J115" s="103">
        <f>F115/Steuerung!$D$2</f>
        <v>2.9953602709595448</v>
      </c>
      <c r="K115" s="57">
        <f>60*H115/Steuerung!$D$1</f>
        <v>-0.33084389363265443</v>
      </c>
      <c r="L115" s="103">
        <f t="shared" si="12"/>
        <v>-1.4090162837307059</v>
      </c>
      <c r="M115" s="57">
        <f t="shared" si="13"/>
        <v>8.986067674129826</v>
      </c>
      <c r="N115" s="57">
        <f t="shared" si="14"/>
        <v>-10.395083957860532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5"/>
  <sheetViews>
    <sheetView workbookViewId="0">
      <selection activeCell="H42" sqref="H42"/>
    </sheetView>
  </sheetViews>
  <sheetFormatPr baseColWidth="10" defaultRowHeight="15" x14ac:dyDescent="0"/>
  <cols>
    <col min="10" max="10" width="13.1640625" customWidth="1"/>
    <col min="13" max="13" width="11.5" customWidth="1"/>
    <col min="17" max="17" width="10.83203125" style="64"/>
    <col min="21" max="21" width="12" customWidth="1"/>
  </cols>
  <sheetData>
    <row r="1" spans="1:26">
      <c r="A1" t="s">
        <v>134</v>
      </c>
      <c r="M1" t="s">
        <v>135</v>
      </c>
      <c r="N1" t="s">
        <v>136</v>
      </c>
      <c r="P1" t="s">
        <v>88</v>
      </c>
      <c r="Q1" s="65" t="s">
        <v>90</v>
      </c>
      <c r="R1" s="22">
        <f>Steuerung!I4</f>
        <v>3</v>
      </c>
      <c r="S1" s="4" t="s">
        <v>93</v>
      </c>
      <c r="U1" t="s">
        <v>129</v>
      </c>
      <c r="Z1" t="s">
        <v>118</v>
      </c>
    </row>
    <row r="2" spans="1:26">
      <c r="A2" t="s">
        <v>85</v>
      </c>
      <c r="M2" t="s">
        <v>86</v>
      </c>
      <c r="N2" t="s">
        <v>87</v>
      </c>
      <c r="P2" t="s">
        <v>89</v>
      </c>
      <c r="Q2" s="68" t="s">
        <v>82</v>
      </c>
      <c r="R2" s="63">
        <f>Steuerung!O11*0.001</f>
        <v>1E-3</v>
      </c>
      <c r="S2" s="7" t="s">
        <v>94</v>
      </c>
      <c r="U2" t="s">
        <v>128</v>
      </c>
    </row>
    <row r="3" spans="1:26">
      <c r="Q3" s="68" t="s">
        <v>91</v>
      </c>
      <c r="R3" s="14">
        <f>Steuerung!I2/Steuerung!D2</f>
        <v>4.7740292807129214E-2</v>
      </c>
      <c r="S3" s="7" t="s">
        <v>95</v>
      </c>
      <c r="Y3" t="s">
        <v>155</v>
      </c>
    </row>
    <row r="4" spans="1:26">
      <c r="A4" t="s">
        <v>108</v>
      </c>
      <c r="M4" s="91" t="s">
        <v>98</v>
      </c>
      <c r="N4" s="92">
        <f>-R1/R2</f>
        <v>-3000</v>
      </c>
      <c r="O4" s="93" t="s">
        <v>35</v>
      </c>
      <c r="Q4" s="68" t="s">
        <v>92</v>
      </c>
      <c r="R4" s="16">
        <f>Steuerung!I6</f>
        <v>20.946666666666665</v>
      </c>
      <c r="S4" s="7" t="s">
        <v>37</v>
      </c>
      <c r="U4" s="91" t="s">
        <v>125</v>
      </c>
      <c r="V4" s="92">
        <f>N4*K11</f>
        <v>-30</v>
      </c>
      <c r="W4" s="93"/>
      <c r="Y4" t="s">
        <v>149</v>
      </c>
      <c r="Z4" t="s">
        <v>150</v>
      </c>
    </row>
    <row r="5" spans="1:26" ht="16" thickBot="1">
      <c r="A5" t="s">
        <v>109</v>
      </c>
      <c r="J5" t="s">
        <v>112</v>
      </c>
      <c r="M5" s="94" t="s">
        <v>99</v>
      </c>
      <c r="N5" s="16">
        <f>-1/(R4*R2)</f>
        <v>-47.740292807129222</v>
      </c>
      <c r="O5" s="95" t="s">
        <v>8</v>
      </c>
      <c r="Q5" s="79" t="s">
        <v>97</v>
      </c>
      <c r="R5" s="10">
        <f>Steuerung!D5*Steuerung!E5</f>
        <v>5.9999999999999995E-5</v>
      </c>
      <c r="S5" s="11" t="str">
        <f>Steuerung!F5</f>
        <v>kg m2</v>
      </c>
      <c r="U5" s="94" t="s">
        <v>120</v>
      </c>
      <c r="V5" s="16">
        <f>N5*K11</f>
        <v>-0.47740292807129225</v>
      </c>
      <c r="W5" s="95" t="s">
        <v>126</v>
      </c>
      <c r="Y5" t="s">
        <v>151</v>
      </c>
      <c r="Z5" t="s">
        <v>152</v>
      </c>
    </row>
    <row r="6" spans="1:26" ht="16" thickBot="1">
      <c r="A6" t="s">
        <v>110</v>
      </c>
      <c r="J6" t="s">
        <v>113</v>
      </c>
      <c r="M6" s="94" t="s">
        <v>100</v>
      </c>
      <c r="N6" s="96">
        <f>R3/R5</f>
        <v>795.67154678548695</v>
      </c>
      <c r="O6" s="95" t="s">
        <v>106</v>
      </c>
      <c r="Q6" s="111" t="s">
        <v>117</v>
      </c>
      <c r="R6">
        <f>2*3.142</f>
        <v>6.2839999999999998</v>
      </c>
      <c r="U6" s="94" t="s">
        <v>121</v>
      </c>
      <c r="V6" s="16">
        <f>N6*K11</f>
        <v>7.9567154678548695</v>
      </c>
      <c r="W6" s="95" t="s">
        <v>105</v>
      </c>
      <c r="Y6" t="s">
        <v>153</v>
      </c>
      <c r="Z6" t="s">
        <v>154</v>
      </c>
    </row>
    <row r="7" spans="1:26">
      <c r="M7" s="94" t="s">
        <v>101</v>
      </c>
      <c r="N7" s="6">
        <v>0</v>
      </c>
      <c r="O7" s="95"/>
      <c r="Q7" s="112" t="s">
        <v>137</v>
      </c>
      <c r="R7" s="105"/>
      <c r="S7" s="106"/>
      <c r="U7" s="94" t="s">
        <v>122</v>
      </c>
      <c r="V7" s="6">
        <f>N7</f>
        <v>0</v>
      </c>
      <c r="W7" s="95"/>
    </row>
    <row r="8" spans="1:26">
      <c r="A8" s="130" t="s">
        <v>162</v>
      </c>
      <c r="B8" s="130"/>
      <c r="C8" s="130"/>
      <c r="M8" s="94" t="s">
        <v>102</v>
      </c>
      <c r="N8" s="6">
        <f>1/R2</f>
        <v>1000</v>
      </c>
      <c r="O8" s="95" t="s">
        <v>104</v>
      </c>
      <c r="Q8" s="113" t="s">
        <v>138</v>
      </c>
      <c r="R8" s="129">
        <v>-1.3</v>
      </c>
      <c r="S8" s="108" t="s">
        <v>93</v>
      </c>
      <c r="T8" s="129">
        <v>-1.3</v>
      </c>
      <c r="U8" s="94" t="s">
        <v>123</v>
      </c>
      <c r="V8" s="6">
        <f>N8*K11</f>
        <v>10</v>
      </c>
      <c r="W8" s="95" t="s">
        <v>127</v>
      </c>
    </row>
    <row r="9" spans="1:26" ht="16" thickBot="1">
      <c r="A9" s="130" t="s">
        <v>163</v>
      </c>
      <c r="B9" s="130">
        <v>8</v>
      </c>
      <c r="C9" s="130" t="s">
        <v>84</v>
      </c>
      <c r="D9" s="131"/>
      <c r="E9" s="131"/>
      <c r="F9" s="131"/>
      <c r="G9" s="131"/>
      <c r="M9" s="97" t="s">
        <v>103</v>
      </c>
      <c r="N9" s="98">
        <v>0</v>
      </c>
      <c r="O9" s="99"/>
      <c r="Q9" s="113" t="s">
        <v>139</v>
      </c>
      <c r="R9" s="129">
        <v>0.03</v>
      </c>
      <c r="S9" s="108" t="s">
        <v>95</v>
      </c>
      <c r="T9" s="129">
        <v>0.03</v>
      </c>
      <c r="U9" s="97" t="s">
        <v>124</v>
      </c>
      <c r="V9" s="98">
        <v>0</v>
      </c>
      <c r="W9" s="99"/>
    </row>
    <row r="10" spans="1:26" ht="16" thickBot="1">
      <c r="Q10" s="120" t="s">
        <v>147</v>
      </c>
      <c r="R10" s="121" t="s">
        <v>157</v>
      </c>
      <c r="S10" s="122"/>
      <c r="U10" s="100" t="s">
        <v>130</v>
      </c>
      <c r="V10" s="101"/>
      <c r="W10" s="102">
        <f>1-V4-V5*V6</f>
        <v>34.798559262184057</v>
      </c>
    </row>
    <row r="11" spans="1:26" ht="16" thickBot="1">
      <c r="A11" s="18" t="s">
        <v>16</v>
      </c>
      <c r="B11" s="19"/>
      <c r="C11" s="19"/>
      <c r="D11" s="19"/>
      <c r="E11" s="19"/>
      <c r="F11" s="19"/>
      <c r="G11" s="19"/>
      <c r="H11" s="19"/>
      <c r="I11" s="19"/>
      <c r="J11" s="19" t="s">
        <v>111</v>
      </c>
      <c r="K11" s="19">
        <v>0.01</v>
      </c>
      <c r="L11" s="25" t="s">
        <v>34</v>
      </c>
      <c r="M11" s="19" t="s">
        <v>69</v>
      </c>
      <c r="N11" s="19"/>
      <c r="O11" s="26"/>
      <c r="Q11" s="123" t="s">
        <v>145</v>
      </c>
      <c r="R11" s="124">
        <v>0</v>
      </c>
      <c r="S11" s="125"/>
    </row>
    <row r="12" spans="1:26" ht="16" thickBot="1">
      <c r="Q12" s="126" t="s">
        <v>146</v>
      </c>
      <c r="R12" s="128">
        <f>-1*K11/R5</f>
        <v>-166.66666666666669</v>
      </c>
      <c r="S12" s="127"/>
    </row>
    <row r="13" spans="1:26">
      <c r="Q13" s="69"/>
      <c r="R13" s="6"/>
      <c r="S13" s="6"/>
    </row>
    <row r="14" spans="1:26">
      <c r="A14" s="64" t="s">
        <v>17</v>
      </c>
      <c r="B14" s="64" t="s">
        <v>158</v>
      </c>
      <c r="C14" s="64" t="s">
        <v>159</v>
      </c>
      <c r="D14" s="64" t="s">
        <v>160</v>
      </c>
      <c r="E14" s="64" t="s">
        <v>161</v>
      </c>
      <c r="F14" s="64" t="s">
        <v>164</v>
      </c>
      <c r="G14" s="132" t="s">
        <v>165</v>
      </c>
      <c r="H14" s="119" t="s">
        <v>148</v>
      </c>
      <c r="I14" s="119" t="s">
        <v>156</v>
      </c>
      <c r="J14" s="104" t="s">
        <v>144</v>
      </c>
      <c r="K14" s="64" t="s">
        <v>114</v>
      </c>
      <c r="L14" s="64" t="s">
        <v>115</v>
      </c>
      <c r="M14" s="64" t="s">
        <v>116</v>
      </c>
      <c r="N14" s="64" t="s">
        <v>131</v>
      </c>
      <c r="O14" s="64" t="s">
        <v>132</v>
      </c>
      <c r="P14" s="64" t="s">
        <v>133</v>
      </c>
      <c r="Q14" s="104" t="s">
        <v>140</v>
      </c>
      <c r="R14" s="104" t="s">
        <v>142</v>
      </c>
      <c r="S14" s="104" t="s">
        <v>143</v>
      </c>
    </row>
    <row r="15" spans="1:26">
      <c r="A15" s="87">
        <v>-1</v>
      </c>
      <c r="B15" s="88">
        <v>0</v>
      </c>
      <c r="C15" s="88">
        <v>0</v>
      </c>
      <c r="D15" s="88">
        <v>0</v>
      </c>
      <c r="E15" s="88">
        <v>0</v>
      </c>
      <c r="F15" s="88"/>
      <c r="G15" s="88">
        <v>0</v>
      </c>
      <c r="H15" s="88"/>
      <c r="I15" s="88"/>
      <c r="J15" s="88">
        <v>0</v>
      </c>
      <c r="K15" s="88">
        <v>0</v>
      </c>
      <c r="L15" s="88">
        <v>0</v>
      </c>
      <c r="M15" s="88"/>
      <c r="N15" s="88">
        <f>J15/Steuerung!$D$4</f>
        <v>0</v>
      </c>
      <c r="O15" s="89" t="s">
        <v>119</v>
      </c>
      <c r="P15" s="115"/>
      <c r="Q15" s="116">
        <v>0</v>
      </c>
    </row>
    <row r="16" spans="1:26">
      <c r="A16" s="64">
        <v>0</v>
      </c>
      <c r="B16" s="64">
        <v>24</v>
      </c>
      <c r="C16" s="103">
        <f>B16*Steuerung!$D$1/(Steuerung!$D$4*60)</f>
        <v>50</v>
      </c>
      <c r="D16" s="103">
        <f>C16-M16</f>
        <v>41.267318319555855</v>
      </c>
      <c r="E16" s="103">
        <f t="shared" ref="E16:E80" si="0">E15+D16</f>
        <v>41.267318319555855</v>
      </c>
      <c r="F16" s="103">
        <f>E16*Steuerung!$C$9</f>
        <v>0.41267318319555857</v>
      </c>
      <c r="G16" s="103">
        <f>F16*$B$9</f>
        <v>3.3013854655644685</v>
      </c>
      <c r="H16" s="64">
        <v>0</v>
      </c>
      <c r="I16" s="103">
        <f>H16*$R$12</f>
        <v>0</v>
      </c>
      <c r="J16" s="117">
        <f>B16-Q16+G15</f>
        <v>24</v>
      </c>
      <c r="K16" s="103">
        <f>(K15 +$V$8*J16 +$V$5*L15)/$W$10</f>
        <v>6.896837256731212</v>
      </c>
      <c r="L16" s="103">
        <f>$V$6*K16+L15+I16</f>
        <v>54.876171679910982</v>
      </c>
      <c r="M16" s="103">
        <f>L16/$R$6</f>
        <v>8.7326816804441414</v>
      </c>
      <c r="N16" s="64">
        <f>J16/Steuerung!$D$4</f>
        <v>1</v>
      </c>
      <c r="O16" s="103">
        <f>K16/Steuerung!$D$2</f>
        <v>2.2989457522437373</v>
      </c>
      <c r="P16" s="57">
        <f>60*M16/Steuerung!$D$1</f>
        <v>0.17465363360888284</v>
      </c>
      <c r="Q16" s="103">
        <f>R16+S16</f>
        <v>0</v>
      </c>
      <c r="R16" s="57">
        <f>$R$8*K15</f>
        <v>0</v>
      </c>
      <c r="S16" s="57">
        <f>$R$9*L15</f>
        <v>0</v>
      </c>
    </row>
    <row r="17" spans="1:19">
      <c r="A17" s="64">
        <v>1</v>
      </c>
      <c r="B17" s="64">
        <v>24</v>
      </c>
      <c r="C17" s="103">
        <f>B17*Steuerung!$D$1/(Steuerung!$D$4*60)</f>
        <v>50</v>
      </c>
      <c r="D17" s="103">
        <f t="shared" ref="D17:D80" si="1">C17-M17</f>
        <v>29.372362326079479</v>
      </c>
      <c r="E17" s="103">
        <f t="shared" si="0"/>
        <v>70.639680645635337</v>
      </c>
      <c r="F17" s="103">
        <f>E17*Steuerung!$C$9</f>
        <v>0.70639680645635339</v>
      </c>
      <c r="G17" s="103">
        <f t="shared" ref="G17:G80" si="2">F17*$B$9</f>
        <v>5.6511744516508271</v>
      </c>
      <c r="H17" s="64">
        <v>0</v>
      </c>
      <c r="I17" s="103">
        <f t="shared" ref="I17:I80" si="3">H17*$R$12</f>
        <v>0</v>
      </c>
      <c r="J17" s="117">
        <f t="shared" ref="J17:J80" si="4">B17-Q17+G16</f>
        <v>34.620988748917711</v>
      </c>
      <c r="K17" s="103">
        <f>(K16 +$V$8*J17 +$V$5*L16)/$W$10</f>
        <v>9.3943165072305401</v>
      </c>
      <c r="L17" s="103">
        <f t="shared" ref="L17:L80" si="5">$V$6*K17+L16+I17</f>
        <v>129.62407514291655</v>
      </c>
      <c r="M17" s="103">
        <f t="shared" ref="M17:M80" si="6">L17/$R$6</f>
        <v>20.627637673920521</v>
      </c>
      <c r="N17" s="118">
        <f>J17/Steuerung!$D$4</f>
        <v>1.4425411978715712</v>
      </c>
      <c r="O17" s="103">
        <f>K17/Steuerung!$D$2</f>
        <v>3.1314388357435132</v>
      </c>
      <c r="P17" s="57">
        <f>60*M17/Steuerung!$D$1</f>
        <v>0.41255275347841047</v>
      </c>
      <c r="Q17" s="103">
        <f t="shared" ref="Q17:Q80" si="7">R17+S17</f>
        <v>-7.3196032833532474</v>
      </c>
      <c r="R17" s="57">
        <f t="shared" ref="R17:R80" si="8">$R$8*K16</f>
        <v>-8.9658884337505764</v>
      </c>
      <c r="S17" s="57">
        <f t="shared" ref="S17:S80" si="9">$R$9*L16</f>
        <v>1.6462851503973295</v>
      </c>
    </row>
    <row r="18" spans="1:19">
      <c r="A18" s="64">
        <v>2</v>
      </c>
      <c r="B18" s="64">
        <v>24</v>
      </c>
      <c r="C18" s="103">
        <f>B18*Steuerung!$D$1/(Steuerung!$D$4*60)</f>
        <v>50</v>
      </c>
      <c r="D18" s="103">
        <f t="shared" si="1"/>
        <v>17.464548901594156</v>
      </c>
      <c r="E18" s="103">
        <f t="shared" si="0"/>
        <v>88.104229547229494</v>
      </c>
      <c r="F18" s="103">
        <f>E18*Steuerung!$C$9</f>
        <v>0.88104229547229496</v>
      </c>
      <c r="G18" s="103">
        <f t="shared" si="2"/>
        <v>7.0483383637783596</v>
      </c>
      <c r="H18" s="64">
        <v>0</v>
      </c>
      <c r="I18" s="103">
        <f t="shared" si="3"/>
        <v>0</v>
      </c>
      <c r="J18" s="117">
        <f t="shared" si="4"/>
        <v>37.975063656763034</v>
      </c>
      <c r="K18" s="103">
        <f t="shared" ref="K18:K81" si="10">(K17 +$V$8*J18 +$V$5*L17)/$W$10</f>
        <v>9.4044709606336561</v>
      </c>
      <c r="L18" s="103">
        <f t="shared" si="5"/>
        <v>204.45277470238233</v>
      </c>
      <c r="M18" s="103">
        <f t="shared" si="6"/>
        <v>32.535451098405844</v>
      </c>
      <c r="N18" s="118">
        <f>J18/Steuerung!$D$4</f>
        <v>1.5822943190317931</v>
      </c>
      <c r="O18" s="103">
        <f>K18/Steuerung!$D$2</f>
        <v>3.1348236535445522</v>
      </c>
      <c r="P18" s="57">
        <f>60*M18/Steuerung!$D$1</f>
        <v>0.65070902196811686</v>
      </c>
      <c r="Q18" s="103">
        <f t="shared" si="7"/>
        <v>-8.3238892051122058</v>
      </c>
      <c r="R18" s="57">
        <f t="shared" si="8"/>
        <v>-12.212611459399703</v>
      </c>
      <c r="S18" s="57">
        <f t="shared" si="9"/>
        <v>3.8887222542874964</v>
      </c>
    </row>
    <row r="19" spans="1:19">
      <c r="A19" s="64">
        <v>3</v>
      </c>
      <c r="B19" s="64">
        <v>24</v>
      </c>
      <c r="C19" s="103">
        <f>B19*Steuerung!$D$1/(Steuerung!$D$4*60)</f>
        <v>50</v>
      </c>
      <c r="D19" s="103">
        <f t="shared" si="1"/>
        <v>7.1598465648326552</v>
      </c>
      <c r="E19" s="103">
        <f t="shared" si="0"/>
        <v>95.264076112062156</v>
      </c>
      <c r="F19" s="103">
        <f>E19*Steuerung!$C$9</f>
        <v>0.95264076112062157</v>
      </c>
      <c r="G19" s="103">
        <f t="shared" si="2"/>
        <v>7.6211260889649726</v>
      </c>
      <c r="H19" s="64">
        <v>0</v>
      </c>
      <c r="I19" s="103">
        <f t="shared" si="3"/>
        <v>0</v>
      </c>
      <c r="J19" s="117">
        <f t="shared" si="4"/>
        <v>37.140567371530643</v>
      </c>
      <c r="K19" s="103">
        <f t="shared" si="10"/>
        <v>8.1383769151754191</v>
      </c>
      <c r="L19" s="103">
        <f t="shared" si="5"/>
        <v>269.20752418659157</v>
      </c>
      <c r="M19" s="103">
        <f t="shared" si="6"/>
        <v>42.840153435167345</v>
      </c>
      <c r="N19" s="118">
        <f>J19/Steuerung!$D$4</f>
        <v>1.5475236404804436</v>
      </c>
      <c r="O19" s="103">
        <f>K19/Steuerung!$D$2</f>
        <v>2.712792305058473</v>
      </c>
      <c r="P19" s="57">
        <f>60*M19/Steuerung!$D$1</f>
        <v>0.85680306870334688</v>
      </c>
      <c r="Q19" s="103">
        <f t="shared" si="7"/>
        <v>-6.0922290077522847</v>
      </c>
      <c r="R19" s="57">
        <f t="shared" si="8"/>
        <v>-12.225812248823754</v>
      </c>
      <c r="S19" s="57">
        <f t="shared" si="9"/>
        <v>6.1335832410714692</v>
      </c>
    </row>
    <row r="20" spans="1:19">
      <c r="A20" s="64">
        <v>4</v>
      </c>
      <c r="B20" s="64">
        <v>24</v>
      </c>
      <c r="C20" s="103">
        <f>B20*Steuerung!$D$1/(Steuerung!$D$4*60)</f>
        <v>50</v>
      </c>
      <c r="D20" s="103">
        <f t="shared" si="1"/>
        <v>-0.87661552424366107</v>
      </c>
      <c r="E20" s="103">
        <f t="shared" si="0"/>
        <v>94.387460587818495</v>
      </c>
      <c r="F20" s="103">
        <f>E20*Steuerung!$C$9</f>
        <v>0.94387460587818495</v>
      </c>
      <c r="G20" s="103">
        <f t="shared" si="2"/>
        <v>7.5509968470254796</v>
      </c>
      <c r="H20" s="64">
        <v>0</v>
      </c>
      <c r="I20" s="103">
        <f t="shared" si="3"/>
        <v>0</v>
      </c>
      <c r="J20" s="117">
        <f t="shared" si="4"/>
        <v>34.124790353095271</v>
      </c>
      <c r="K20" s="103">
        <f t="shared" si="10"/>
        <v>6.3469817378515208</v>
      </c>
      <c r="L20" s="103">
        <f t="shared" si="5"/>
        <v>319.70865195434715</v>
      </c>
      <c r="M20" s="103">
        <f t="shared" si="6"/>
        <v>50.876615524243661</v>
      </c>
      <c r="N20" s="118">
        <f>J20/Steuerung!$D$4</f>
        <v>1.421866264712303</v>
      </c>
      <c r="O20" s="103">
        <f>K20/Steuerung!$D$2</f>
        <v>2.1156605792838401</v>
      </c>
      <c r="P20" s="57">
        <f>60*M20/Steuerung!$D$1</f>
        <v>1.0175323104848732</v>
      </c>
      <c r="Q20" s="103">
        <f t="shared" si="7"/>
        <v>-2.5036642641302986</v>
      </c>
      <c r="R20" s="57">
        <f t="shared" si="8"/>
        <v>-10.579889989728045</v>
      </c>
      <c r="S20" s="57">
        <f t="shared" si="9"/>
        <v>8.0762257255977463</v>
      </c>
    </row>
    <row r="21" spans="1:19">
      <c r="A21" s="64">
        <v>5</v>
      </c>
      <c r="B21" s="64">
        <v>24</v>
      </c>
      <c r="C21" s="103">
        <f>B21*Steuerung!$D$1/(Steuerung!$D$4*60)</f>
        <v>50</v>
      </c>
      <c r="D21" s="103">
        <f t="shared" si="1"/>
        <v>-6.5465008837359164</v>
      </c>
      <c r="E21" s="103">
        <f t="shared" si="0"/>
        <v>87.840959704082579</v>
      </c>
      <c r="F21" s="103">
        <f>E21*Steuerung!$C$9</f>
        <v>0.87840959704082577</v>
      </c>
      <c r="G21" s="103">
        <f t="shared" si="2"/>
        <v>7.0272767763266062</v>
      </c>
      <c r="H21" s="64">
        <v>0</v>
      </c>
      <c r="I21" s="103">
        <f t="shared" si="3"/>
        <v>0</v>
      </c>
      <c r="J21" s="117">
        <f t="shared" si="4"/>
        <v>30.210813547602044</v>
      </c>
      <c r="K21" s="103">
        <f t="shared" si="10"/>
        <v>4.4779230504085223</v>
      </c>
      <c r="L21" s="103">
        <f t="shared" si="5"/>
        <v>355.33821155339649</v>
      </c>
      <c r="M21" s="103">
        <f t="shared" si="6"/>
        <v>56.546500883735916</v>
      </c>
      <c r="N21" s="118">
        <f>J21/Steuerung!$D$4</f>
        <v>1.2587838978167518</v>
      </c>
      <c r="O21" s="103">
        <f>K21/Steuerung!$D$2</f>
        <v>1.4926410168028408</v>
      </c>
      <c r="P21" s="57">
        <f>60*M21/Steuerung!$D$1</f>
        <v>1.1309300176747183</v>
      </c>
      <c r="Q21" s="103">
        <f t="shared" si="7"/>
        <v>1.3401832994234368</v>
      </c>
      <c r="R21" s="57">
        <f t="shared" si="8"/>
        <v>-8.2510762592069771</v>
      </c>
      <c r="S21" s="57">
        <f t="shared" si="9"/>
        <v>9.5912595586304139</v>
      </c>
    </row>
    <row r="22" spans="1:19">
      <c r="A22" s="64">
        <v>6</v>
      </c>
      <c r="B22" s="64">
        <v>24</v>
      </c>
      <c r="C22" s="103">
        <f>B22*Steuerung!$D$1/(Steuerung!$D$4*60)</f>
        <v>50</v>
      </c>
      <c r="D22" s="103">
        <f t="shared" si="1"/>
        <v>-10.065870729691134</v>
      </c>
      <c r="E22" s="103">
        <f t="shared" si="0"/>
        <v>77.775088974391451</v>
      </c>
      <c r="F22" s="103">
        <f>E22*Steuerung!$C$9</f>
        <v>0.77775088974391449</v>
      </c>
      <c r="G22" s="103">
        <f t="shared" si="2"/>
        <v>6.2220071179513159</v>
      </c>
      <c r="H22" s="64">
        <v>0</v>
      </c>
      <c r="I22" s="103">
        <f t="shared" si="3"/>
        <v>0</v>
      </c>
      <c r="J22" s="117">
        <f t="shared" si="4"/>
        <v>26.188430395255789</v>
      </c>
      <c r="K22" s="103">
        <f t="shared" si="10"/>
        <v>2.7795037036739685</v>
      </c>
      <c r="L22" s="103">
        <f t="shared" si="5"/>
        <v>377.45393166537906</v>
      </c>
      <c r="M22" s="103">
        <f t="shared" si="6"/>
        <v>60.065870729691134</v>
      </c>
      <c r="N22" s="118">
        <f>J22/Steuerung!$D$4</f>
        <v>1.0911845998023246</v>
      </c>
      <c r="O22" s="103">
        <f>K22/Steuerung!$D$2</f>
        <v>0.92650123455798949</v>
      </c>
      <c r="P22" s="57">
        <f>60*M22/Steuerung!$D$1</f>
        <v>1.2013174145938226</v>
      </c>
      <c r="Q22" s="103">
        <f t="shared" si="7"/>
        <v>4.838846381070816</v>
      </c>
      <c r="R22" s="57">
        <f t="shared" si="8"/>
        <v>-5.8212999655310789</v>
      </c>
      <c r="S22" s="57">
        <f t="shared" si="9"/>
        <v>10.660146346601895</v>
      </c>
    </row>
    <row r="23" spans="1:19">
      <c r="A23" s="64">
        <v>7</v>
      </c>
      <c r="B23" s="64">
        <v>24</v>
      </c>
      <c r="C23" s="103">
        <f>B23*Steuerung!$D$1/(Steuerung!$D$4*60)</f>
        <v>50</v>
      </c>
      <c r="D23" s="103">
        <f t="shared" si="1"/>
        <v>-11.801466883782808</v>
      </c>
      <c r="E23" s="103">
        <f t="shared" si="0"/>
        <v>65.973622090608643</v>
      </c>
      <c r="F23" s="103">
        <f>E23*Steuerung!$C$9</f>
        <v>0.65973622090608641</v>
      </c>
      <c r="G23" s="103">
        <f t="shared" si="2"/>
        <v>5.2778897672486913</v>
      </c>
      <c r="H23" s="64">
        <v>0</v>
      </c>
      <c r="I23" s="103">
        <f t="shared" si="3"/>
        <v>0</v>
      </c>
      <c r="J23" s="117">
        <f t="shared" si="4"/>
        <v>22.511743982766106</v>
      </c>
      <c r="K23" s="103">
        <f t="shared" si="10"/>
        <v>1.3707271896769864</v>
      </c>
      <c r="L23" s="103">
        <f t="shared" si="5"/>
        <v>388.36041789769115</v>
      </c>
      <c r="M23" s="103">
        <f t="shared" si="6"/>
        <v>61.801466883782808</v>
      </c>
      <c r="N23" s="118">
        <f>J23/Steuerung!$D$4</f>
        <v>0.93798933261525441</v>
      </c>
      <c r="O23" s="103">
        <f>K23/Steuerung!$D$2</f>
        <v>0.4569090632256621</v>
      </c>
      <c r="P23" s="57">
        <f>60*M23/Steuerung!$D$1</f>
        <v>1.2360293376756561</v>
      </c>
      <c r="Q23" s="103">
        <f t="shared" si="7"/>
        <v>7.7102631351852118</v>
      </c>
      <c r="R23" s="57">
        <f t="shared" si="8"/>
        <v>-3.6133548147761592</v>
      </c>
      <c r="S23" s="57">
        <f t="shared" si="9"/>
        <v>11.32361794996137</v>
      </c>
    </row>
    <row r="24" spans="1:19">
      <c r="A24" s="64">
        <v>8</v>
      </c>
      <c r="B24" s="64">
        <v>24</v>
      </c>
      <c r="C24" s="103">
        <f>B24*Steuerung!$D$1/(Steuerung!$D$4*60)</f>
        <v>50</v>
      </c>
      <c r="D24" s="103">
        <f t="shared" si="1"/>
        <v>-12.167386342543075</v>
      </c>
      <c r="E24" s="103">
        <f t="shared" si="0"/>
        <v>53.806235748065568</v>
      </c>
      <c r="F24" s="103">
        <f>E24*Steuerung!$C$9</f>
        <v>0.53806235748065567</v>
      </c>
      <c r="G24" s="103">
        <f t="shared" si="2"/>
        <v>4.3044988598452454</v>
      </c>
      <c r="H24" s="64">
        <v>0</v>
      </c>
      <c r="I24" s="103">
        <f t="shared" si="3"/>
        <v>0</v>
      </c>
      <c r="J24" s="117">
        <f t="shared" si="4"/>
        <v>19.409022576898039</v>
      </c>
      <c r="K24" s="103">
        <f t="shared" si="10"/>
        <v>0.28899335261380998</v>
      </c>
      <c r="L24" s="103">
        <f t="shared" si="5"/>
        <v>390.65985577654067</v>
      </c>
      <c r="M24" s="103">
        <f t="shared" si="6"/>
        <v>62.167386342543075</v>
      </c>
      <c r="N24" s="118">
        <f>J24/Steuerung!$D$4</f>
        <v>0.80870927403741832</v>
      </c>
      <c r="O24" s="103">
        <f>K24/Steuerung!$D$2</f>
        <v>9.6331117537936661E-2</v>
      </c>
      <c r="P24" s="57">
        <f>60*M24/Steuerung!$D$1</f>
        <v>1.2433477268508615</v>
      </c>
      <c r="Q24" s="103">
        <f t="shared" si="7"/>
        <v>9.8688671903506524</v>
      </c>
      <c r="R24" s="57">
        <f t="shared" si="8"/>
        <v>-1.7819453465800823</v>
      </c>
      <c r="S24" s="57">
        <f t="shared" si="9"/>
        <v>11.650812536930735</v>
      </c>
    </row>
    <row r="25" spans="1:19">
      <c r="A25" s="64">
        <v>9</v>
      </c>
      <c r="B25" s="64">
        <v>24</v>
      </c>
      <c r="C25" s="103">
        <f>B25*Steuerung!$D$1/(Steuerung!$D$4*60)</f>
        <v>50</v>
      </c>
      <c r="D25" s="103">
        <f t="shared" si="1"/>
        <v>-11.563040370917719</v>
      </c>
      <c r="E25" s="103">
        <f t="shared" si="0"/>
        <v>42.243195377147849</v>
      </c>
      <c r="F25" s="103">
        <f>E25*Steuerung!$C$9</f>
        <v>0.42243195377147852</v>
      </c>
      <c r="G25" s="103">
        <f t="shared" si="2"/>
        <v>3.3794556301718282</v>
      </c>
      <c r="H25" s="64">
        <v>0</v>
      </c>
      <c r="I25" s="103">
        <f t="shared" si="3"/>
        <v>0</v>
      </c>
      <c r="J25" s="117">
        <f t="shared" si="4"/>
        <v>16.960394544946979</v>
      </c>
      <c r="K25" s="103">
        <f t="shared" si="10"/>
        <v>-0.47729620356998731</v>
      </c>
      <c r="L25" s="103">
        <f t="shared" si="5"/>
        <v>386.86214569084694</v>
      </c>
      <c r="M25" s="103">
        <f t="shared" si="6"/>
        <v>61.563040370917719</v>
      </c>
      <c r="N25" s="118">
        <f>J25/Steuerung!$D$4</f>
        <v>0.7066831060394575</v>
      </c>
      <c r="O25" s="103">
        <f>K25/Steuerung!$D$2</f>
        <v>-0.15909873452332909</v>
      </c>
      <c r="P25" s="57">
        <f>60*M25/Steuerung!$D$1</f>
        <v>1.2312608074183544</v>
      </c>
      <c r="Q25" s="103">
        <f t="shared" si="7"/>
        <v>11.344104314898267</v>
      </c>
      <c r="R25" s="57">
        <f t="shared" si="8"/>
        <v>-0.37569135839795298</v>
      </c>
      <c r="S25" s="57">
        <f t="shared" si="9"/>
        <v>11.71979567329622</v>
      </c>
    </row>
    <row r="26" spans="1:19">
      <c r="A26" s="64">
        <v>10</v>
      </c>
      <c r="B26" s="64">
        <v>24</v>
      </c>
      <c r="C26" s="103">
        <f>B26*Steuerung!$D$1/(Steuerung!$D$4*60)</f>
        <v>50</v>
      </c>
      <c r="D26" s="103">
        <f t="shared" si="1"/>
        <v>-10.339178489085597</v>
      </c>
      <c r="E26" s="103">
        <f t="shared" si="0"/>
        <v>31.904016888062252</v>
      </c>
      <c r="F26" s="103">
        <f>E26*Steuerung!$C$9</f>
        <v>0.31904016888062253</v>
      </c>
      <c r="G26" s="103">
        <f t="shared" si="2"/>
        <v>2.5523213510449803</v>
      </c>
      <c r="H26" s="64">
        <v>0</v>
      </c>
      <c r="I26" s="103">
        <f t="shared" si="3"/>
        <v>0</v>
      </c>
      <c r="J26" s="117">
        <f t="shared" si="4"/>
        <v>15.153106194805437</v>
      </c>
      <c r="K26" s="103">
        <f t="shared" si="10"/>
        <v>-0.96657321686362652</v>
      </c>
      <c r="L26" s="103">
        <f t="shared" si="5"/>
        <v>379.17139762541387</v>
      </c>
      <c r="M26" s="103">
        <f t="shared" si="6"/>
        <v>60.339178489085597</v>
      </c>
      <c r="N26" s="118">
        <f>J26/Steuerung!$D$4</f>
        <v>0.63137942478355991</v>
      </c>
      <c r="O26" s="103">
        <f>K26/Steuerung!$D$2</f>
        <v>-0.32219107228787552</v>
      </c>
      <c r="P26" s="57">
        <f>60*M26/Steuerung!$D$1</f>
        <v>1.206783569781712</v>
      </c>
      <c r="Q26" s="103">
        <f t="shared" si="7"/>
        <v>12.226349435366391</v>
      </c>
      <c r="R26" s="57">
        <f t="shared" si="8"/>
        <v>0.62048506464098352</v>
      </c>
      <c r="S26" s="57">
        <f t="shared" si="9"/>
        <v>11.605864370725408</v>
      </c>
    </row>
    <row r="27" spans="1:19">
      <c r="A27" s="64">
        <v>11</v>
      </c>
      <c r="B27" s="64">
        <v>24</v>
      </c>
      <c r="C27" s="103">
        <f>B27*Steuerung!$D$1/(Steuerung!$D$4*60)</f>
        <v>50</v>
      </c>
      <c r="D27" s="103">
        <f t="shared" si="1"/>
        <v>-8.7826592560512893</v>
      </c>
      <c r="E27" s="103">
        <f t="shared" si="0"/>
        <v>23.121357632010962</v>
      </c>
      <c r="F27" s="103">
        <f>E27*Steuerung!$C$9</f>
        <v>0.23121357632010964</v>
      </c>
      <c r="G27" s="103">
        <f t="shared" si="2"/>
        <v>1.8497086105608771</v>
      </c>
      <c r="H27" s="64">
        <v>0</v>
      </c>
      <c r="I27" s="103">
        <f t="shared" si="3"/>
        <v>0</v>
      </c>
      <c r="J27" s="117">
        <f t="shared" si="4"/>
        <v>13.920634240359851</v>
      </c>
      <c r="K27" s="103">
        <f t="shared" si="10"/>
        <v>-1.2292970510135155</v>
      </c>
      <c r="L27" s="103">
        <f t="shared" si="5"/>
        <v>369.39023076502627</v>
      </c>
      <c r="M27" s="103">
        <f t="shared" si="6"/>
        <v>58.782659256051289</v>
      </c>
      <c r="N27" s="118">
        <f>J27/Steuerung!$D$4</f>
        <v>0.58002642668166049</v>
      </c>
      <c r="O27" s="103">
        <f>K27/Steuerung!$D$2</f>
        <v>-0.40976568367117183</v>
      </c>
      <c r="P27" s="57">
        <f>60*M27/Steuerung!$D$1</f>
        <v>1.1756531851210259</v>
      </c>
      <c r="Q27" s="103">
        <f t="shared" si="7"/>
        <v>12.63168711068513</v>
      </c>
      <c r="R27" s="57">
        <f t="shared" si="8"/>
        <v>1.2565451819227145</v>
      </c>
      <c r="S27" s="57">
        <f t="shared" si="9"/>
        <v>11.375141928762416</v>
      </c>
    </row>
    <row r="28" spans="1:19">
      <c r="A28" s="64">
        <v>12</v>
      </c>
      <c r="B28" s="64">
        <v>24</v>
      </c>
      <c r="C28" s="103">
        <f>B28*Steuerung!$D$1/(Steuerung!$D$4*60)</f>
        <v>50</v>
      </c>
      <c r="D28" s="103">
        <f t="shared" si="1"/>
        <v>-7.1133300284735554</v>
      </c>
      <c r="E28" s="103">
        <f t="shared" si="0"/>
        <v>16.008027603537407</v>
      </c>
      <c r="F28" s="103">
        <f>E28*Steuerung!$C$9</f>
        <v>0.16008027603537409</v>
      </c>
      <c r="G28" s="103">
        <f t="shared" si="2"/>
        <v>1.2806422082829927</v>
      </c>
      <c r="H28" s="64">
        <v>0</v>
      </c>
      <c r="I28" s="103">
        <f t="shared" si="3"/>
        <v>0</v>
      </c>
      <c r="J28" s="117">
        <f t="shared" si="4"/>
        <v>13.16991552129252</v>
      </c>
      <c r="K28" s="103">
        <f t="shared" si="10"/>
        <v>-1.3183913523712576</v>
      </c>
      <c r="L28" s="103">
        <f t="shared" si="5"/>
        <v>358.90016589892781</v>
      </c>
      <c r="M28" s="103">
        <f t="shared" si="6"/>
        <v>57.113330028473555</v>
      </c>
      <c r="N28" s="118">
        <f>J28/Steuerung!$D$4</f>
        <v>0.54874648005385496</v>
      </c>
      <c r="O28" s="103">
        <f>K28/Steuerung!$D$2</f>
        <v>-0.43946378412375253</v>
      </c>
      <c r="P28" s="57">
        <f>60*M28/Steuerung!$D$1</f>
        <v>1.142266600569471</v>
      </c>
      <c r="Q28" s="103">
        <f t="shared" si="7"/>
        <v>12.679793089268358</v>
      </c>
      <c r="R28" s="57">
        <f t="shared" si="8"/>
        <v>1.5980861663175703</v>
      </c>
      <c r="S28" s="57">
        <f t="shared" si="9"/>
        <v>11.081706922950788</v>
      </c>
    </row>
    <row r="29" spans="1:19">
      <c r="A29" s="64">
        <v>13</v>
      </c>
      <c r="B29" s="64">
        <v>24</v>
      </c>
      <c r="C29" s="103">
        <f>B29*Steuerung!$D$1/(Steuerung!$D$4*60)</f>
        <v>50</v>
      </c>
      <c r="D29" s="103">
        <f t="shared" si="1"/>
        <v>-5.4882836075219998</v>
      </c>
      <c r="E29" s="103">
        <f t="shared" si="0"/>
        <v>10.519743996015407</v>
      </c>
      <c r="F29" s="103">
        <f>E29*Steuerung!$C$9</f>
        <v>0.10519743996015407</v>
      </c>
      <c r="G29" s="103">
        <f t="shared" si="2"/>
        <v>0.84157951968123257</v>
      </c>
      <c r="H29" s="64">
        <v>0</v>
      </c>
      <c r="I29" s="103">
        <f t="shared" si="3"/>
        <v>0</v>
      </c>
      <c r="J29" s="117">
        <f t="shared" si="4"/>
        <v>12.799728473232523</v>
      </c>
      <c r="K29" s="103">
        <f t="shared" si="10"/>
        <v>-1.2834179820197436</v>
      </c>
      <c r="L29" s="103">
        <f t="shared" si="5"/>
        <v>348.68837418966825</v>
      </c>
      <c r="M29" s="103">
        <f t="shared" si="6"/>
        <v>55.488283607522</v>
      </c>
      <c r="N29" s="118">
        <f>J29/Steuerung!$D$4</f>
        <v>0.53332201971802184</v>
      </c>
      <c r="O29" s="103">
        <f>K29/Steuerung!$D$2</f>
        <v>-0.4278059940065812</v>
      </c>
      <c r="P29" s="57">
        <f>60*M29/Steuerung!$D$1</f>
        <v>1.1097656721504399</v>
      </c>
      <c r="Q29" s="103">
        <f t="shared" si="7"/>
        <v>12.48091373505047</v>
      </c>
      <c r="R29" s="57">
        <f t="shared" si="8"/>
        <v>1.7139087580826349</v>
      </c>
      <c r="S29" s="57">
        <f t="shared" si="9"/>
        <v>10.767004976967835</v>
      </c>
    </row>
    <row r="30" spans="1:19">
      <c r="A30" s="64">
        <v>14</v>
      </c>
      <c r="B30" s="64">
        <v>24</v>
      </c>
      <c r="C30" s="103">
        <f>B30*Steuerung!$D$1/(Steuerung!$D$4*60)</f>
        <v>50</v>
      </c>
      <c r="D30" s="103">
        <f t="shared" si="1"/>
        <v>-4.0101528058219102</v>
      </c>
      <c r="E30" s="103">
        <f t="shared" si="0"/>
        <v>6.5095911901934969</v>
      </c>
      <c r="F30" s="103">
        <f>E30*Steuerung!$C$9</f>
        <v>6.5095911901934964E-2</v>
      </c>
      <c r="G30" s="103">
        <f t="shared" si="2"/>
        <v>0.52076729521547971</v>
      </c>
      <c r="H30" s="64">
        <v>0</v>
      </c>
      <c r="I30" s="103">
        <f t="shared" si="3"/>
        <v>0</v>
      </c>
      <c r="J30" s="117">
        <f t="shared" si="4"/>
        <v>12.712484917365519</v>
      </c>
      <c r="K30" s="103">
        <f t="shared" si="10"/>
        <v>-1.1673879750267844</v>
      </c>
      <c r="L30" s="103">
        <f t="shared" si="5"/>
        <v>339.39980023178487</v>
      </c>
      <c r="M30" s="103">
        <f t="shared" si="6"/>
        <v>54.01015280582191</v>
      </c>
      <c r="N30" s="118">
        <f>J30/Steuerung!$D$4</f>
        <v>0.52968687155689664</v>
      </c>
      <c r="O30" s="103">
        <f>K30/Steuerung!$D$2</f>
        <v>-0.38912932500892811</v>
      </c>
      <c r="P30" s="57">
        <f>60*M30/Steuerung!$D$1</f>
        <v>1.0802030561164382</v>
      </c>
      <c r="Q30" s="103">
        <f t="shared" si="7"/>
        <v>12.129094602315714</v>
      </c>
      <c r="R30" s="57">
        <f t="shared" si="8"/>
        <v>1.6684433766256668</v>
      </c>
      <c r="S30" s="57">
        <f t="shared" si="9"/>
        <v>10.460651225690047</v>
      </c>
    </row>
    <row r="31" spans="1:19">
      <c r="A31" s="64">
        <v>15</v>
      </c>
      <c r="B31" s="64">
        <v>24</v>
      </c>
      <c r="C31" s="103">
        <f>B31*Steuerung!$D$1/(Steuerung!$D$4*60)</f>
        <v>50</v>
      </c>
      <c r="D31" s="103">
        <f t="shared" si="1"/>
        <v>-2.7371404144863973</v>
      </c>
      <c r="E31" s="103">
        <f t="shared" si="0"/>
        <v>3.7724507757070995</v>
      </c>
      <c r="F31" s="103">
        <f>E31*Steuerung!$C$9</f>
        <v>3.7724507757070994E-2</v>
      </c>
      <c r="G31" s="103">
        <f t="shared" si="2"/>
        <v>0.30179606205656795</v>
      </c>
      <c r="H31" s="64">
        <v>0</v>
      </c>
      <c r="I31" s="103">
        <f t="shared" si="3"/>
        <v>0</v>
      </c>
      <c r="J31" s="117">
        <f t="shared" si="4"/>
        <v>12.821168920727116</v>
      </c>
      <c r="K31" s="103">
        <f t="shared" si="10"/>
        <v>-1.0053909681037052</v>
      </c>
      <c r="L31" s="103">
        <f t="shared" si="5"/>
        <v>331.40019036463252</v>
      </c>
      <c r="M31" s="103">
        <f t="shared" si="6"/>
        <v>52.737140414486397</v>
      </c>
      <c r="N31" s="118">
        <f>J31/Steuerung!$D$4</f>
        <v>0.5342153716969632</v>
      </c>
      <c r="O31" s="103">
        <f>K31/Steuerung!$D$2</f>
        <v>-0.33513032270123505</v>
      </c>
      <c r="P31" s="57">
        <f>60*M31/Steuerung!$D$1</f>
        <v>1.0547428082897279</v>
      </c>
      <c r="Q31" s="103">
        <f t="shared" si="7"/>
        <v>11.699598374488364</v>
      </c>
      <c r="R31" s="57">
        <f t="shared" si="8"/>
        <v>1.5176043675348196</v>
      </c>
      <c r="S31" s="57">
        <f t="shared" si="9"/>
        <v>10.181994006953545</v>
      </c>
    </row>
    <row r="32" spans="1:19">
      <c r="A32" s="64">
        <v>16</v>
      </c>
      <c r="B32" s="64">
        <v>24</v>
      </c>
      <c r="C32" s="103">
        <f>B32*Steuerung!$D$1/(Steuerung!$D$4*60)</f>
        <v>50</v>
      </c>
      <c r="D32" s="103">
        <f t="shared" si="1"/>
        <v>-1.6932577951890622</v>
      </c>
      <c r="E32" s="103">
        <f t="shared" si="0"/>
        <v>2.0791929805180374</v>
      </c>
      <c r="F32" s="103">
        <f>E32*Steuerung!$C$9</f>
        <v>2.0791929805180374E-2</v>
      </c>
      <c r="G32" s="103">
        <f t="shared" si="2"/>
        <v>0.166335438441443</v>
      </c>
      <c r="H32" s="64">
        <v>0</v>
      </c>
      <c r="I32" s="103">
        <f t="shared" si="3"/>
        <v>0</v>
      </c>
      <c r="J32" s="117">
        <f t="shared" si="4"/>
        <v>13.052782092582776</v>
      </c>
      <c r="K32" s="103">
        <f t="shared" si="10"/>
        <v>-0.82443043315623088</v>
      </c>
      <c r="L32" s="103">
        <f t="shared" si="5"/>
        <v>324.84043198496806</v>
      </c>
      <c r="M32" s="103">
        <f t="shared" si="6"/>
        <v>51.693257795189062</v>
      </c>
      <c r="N32" s="118">
        <f>J32/Steuerung!$D$4</f>
        <v>0.54386592052428229</v>
      </c>
      <c r="O32" s="103">
        <f>K32/Steuerung!$D$2</f>
        <v>-0.27481014438541029</v>
      </c>
      <c r="P32" s="57">
        <f>60*M32/Steuerung!$D$1</f>
        <v>1.0338651559037813</v>
      </c>
      <c r="Q32" s="103">
        <f t="shared" si="7"/>
        <v>11.249013969473792</v>
      </c>
      <c r="R32" s="57">
        <f t="shared" si="8"/>
        <v>1.3070082585348168</v>
      </c>
      <c r="S32" s="57">
        <f t="shared" si="9"/>
        <v>9.9420057109389752</v>
      </c>
    </row>
    <row r="33" spans="1:19">
      <c r="A33" s="64">
        <v>17</v>
      </c>
      <c r="B33" s="64">
        <v>24</v>
      </c>
      <c r="C33" s="103">
        <f>B33*Steuerung!$D$1/(Steuerung!$D$4*60)</f>
        <v>50</v>
      </c>
      <c r="D33" s="103">
        <f t="shared" si="1"/>
        <v>-0.87782273356881291</v>
      </c>
      <c r="E33" s="103">
        <f t="shared" si="0"/>
        <v>1.2013702469492245</v>
      </c>
      <c r="F33" s="103">
        <f>E33*Steuerung!$C$9</f>
        <v>1.2013702469492245E-2</v>
      </c>
      <c r="G33" s="103">
        <f t="shared" si="2"/>
        <v>9.6109619755937958E-2</v>
      </c>
      <c r="H33" s="64">
        <v>0</v>
      </c>
      <c r="I33" s="103">
        <f t="shared" si="3"/>
        <v>0</v>
      </c>
      <c r="J33" s="117">
        <f t="shared" si="4"/>
        <v>13.349362915789301</v>
      </c>
      <c r="K33" s="103">
        <f t="shared" si="10"/>
        <v>-0.64400869277321582</v>
      </c>
      <c r="L33" s="103">
        <f t="shared" si="5"/>
        <v>319.71623805774641</v>
      </c>
      <c r="M33" s="103">
        <f t="shared" si="6"/>
        <v>50.877822733568813</v>
      </c>
      <c r="N33" s="118">
        <f>J33/Steuerung!$D$4</f>
        <v>0.55622345482455426</v>
      </c>
      <c r="O33" s="103">
        <f>K33/Steuerung!$D$2</f>
        <v>-0.21466956425773862</v>
      </c>
      <c r="P33" s="57">
        <f>60*M33/Steuerung!$D$1</f>
        <v>1.0175564546713762</v>
      </c>
      <c r="Q33" s="103">
        <f t="shared" si="7"/>
        <v>10.816972522652142</v>
      </c>
      <c r="R33" s="57">
        <f t="shared" si="8"/>
        <v>1.0717595631031003</v>
      </c>
      <c r="S33" s="57">
        <f t="shared" si="9"/>
        <v>9.7452129595490415</v>
      </c>
    </row>
    <row r="34" spans="1:19">
      <c r="A34" s="64">
        <v>18</v>
      </c>
      <c r="B34" s="64">
        <v>24</v>
      </c>
      <c r="C34" s="103">
        <f>B34*Steuerung!$D$1/(Steuerung!$D$4*60)</f>
        <v>50</v>
      </c>
      <c r="D34" s="103">
        <f t="shared" si="1"/>
        <v>-0.27368980685631072</v>
      </c>
      <c r="E34" s="103">
        <f t="shared" si="0"/>
        <v>0.92768044009291373</v>
      </c>
      <c r="F34" s="103">
        <f>E34*Steuerung!$C$9</f>
        <v>9.2768044009291367E-3</v>
      </c>
      <c r="G34" s="103">
        <f t="shared" si="2"/>
        <v>7.4214435207433094E-2</v>
      </c>
      <c r="H34" s="64">
        <v>0</v>
      </c>
      <c r="I34" s="103">
        <f t="shared" si="3"/>
        <v>0</v>
      </c>
      <c r="J34" s="117">
        <f t="shared" si="4"/>
        <v>13.667411177418366</v>
      </c>
      <c r="K34" s="103">
        <f t="shared" si="10"/>
        <v>-0.47712794642446799</v>
      </c>
      <c r="L34" s="103">
        <f t="shared" si="5"/>
        <v>315.91986674628504</v>
      </c>
      <c r="M34" s="103">
        <f t="shared" si="6"/>
        <v>50.273689806856311</v>
      </c>
      <c r="N34" s="118">
        <f>J34/Steuerung!$D$4</f>
        <v>0.56947546572576524</v>
      </c>
      <c r="O34" s="103">
        <f>K34/Steuerung!$D$2</f>
        <v>-0.159042648808156</v>
      </c>
      <c r="P34" s="57">
        <f>60*M34/Steuerung!$D$1</f>
        <v>1.0054737961371263</v>
      </c>
      <c r="Q34" s="103">
        <f t="shared" si="7"/>
        <v>10.428698442337572</v>
      </c>
      <c r="R34" s="57">
        <f t="shared" si="8"/>
        <v>0.83721130060518056</v>
      </c>
      <c r="S34" s="57">
        <f t="shared" si="9"/>
        <v>9.5914871417323919</v>
      </c>
    </row>
    <row r="35" spans="1:19">
      <c r="A35" s="64">
        <v>19</v>
      </c>
      <c r="B35" s="64">
        <v>24</v>
      </c>
      <c r="C35" s="103">
        <f>B35*Steuerung!$D$1/(Steuerung!$D$4*60)</f>
        <v>50</v>
      </c>
      <c r="D35" s="103">
        <f t="shared" si="1"/>
        <v>0.14601292974558078</v>
      </c>
      <c r="E35" s="103">
        <f t="shared" si="0"/>
        <v>1.0736933698384945</v>
      </c>
      <c r="F35" s="103">
        <f>E35*Steuerung!$C$9</f>
        <v>1.0736933698384946E-2</v>
      </c>
      <c r="G35" s="103">
        <f t="shared" si="2"/>
        <v>8.5895469587079568E-2</v>
      </c>
      <c r="H35" s="64">
        <v>0</v>
      </c>
      <c r="I35" s="103">
        <f t="shared" si="3"/>
        <v>0</v>
      </c>
      <c r="J35" s="117">
        <f t="shared" si="4"/>
        <v>13.976352102467073</v>
      </c>
      <c r="K35" s="103">
        <f t="shared" si="10"/>
        <v>-0.33146993975861411</v>
      </c>
      <c r="L35" s="103">
        <f t="shared" si="5"/>
        <v>313.28245474947875</v>
      </c>
      <c r="M35" s="103">
        <f t="shared" si="6"/>
        <v>49.853987070254419</v>
      </c>
      <c r="N35" s="118">
        <f>J35/Steuerung!$D$4</f>
        <v>0.58234800426946143</v>
      </c>
      <c r="O35" s="103">
        <f>K35/Steuerung!$D$2</f>
        <v>-0.11048997991953803</v>
      </c>
      <c r="P35" s="57">
        <f>60*M35/Steuerung!$D$1</f>
        <v>0.99707974140508837</v>
      </c>
      <c r="Q35" s="103">
        <f t="shared" si="7"/>
        <v>10.097862332740359</v>
      </c>
      <c r="R35" s="57">
        <f t="shared" si="8"/>
        <v>0.62026633035180845</v>
      </c>
      <c r="S35" s="57">
        <f t="shared" si="9"/>
        <v>9.4775960023885499</v>
      </c>
    </row>
    <row r="36" spans="1:19">
      <c r="A36" s="64">
        <v>20</v>
      </c>
      <c r="B36" s="64">
        <v>24</v>
      </c>
      <c r="C36" s="103">
        <f>B36*Steuerung!$D$1/(Steuerung!$D$4*60)</f>
        <v>50</v>
      </c>
      <c r="D36" s="103">
        <f t="shared" si="1"/>
        <v>0.41266253024245003</v>
      </c>
      <c r="E36" s="103">
        <f t="shared" si="0"/>
        <v>1.4863559000809445</v>
      </c>
      <c r="F36" s="103">
        <f>E36*Steuerung!$C$9</f>
        <v>1.4863559000809446E-2</v>
      </c>
      <c r="G36" s="103">
        <f t="shared" si="2"/>
        <v>0.11890847200647557</v>
      </c>
      <c r="H36" s="64">
        <v>0</v>
      </c>
      <c r="I36" s="103">
        <f t="shared" si="3"/>
        <v>0</v>
      </c>
      <c r="J36" s="117">
        <f t="shared" si="4"/>
        <v>14.256510905416519</v>
      </c>
      <c r="K36" s="103">
        <f t="shared" si="10"/>
        <v>-0.21059268693116406</v>
      </c>
      <c r="L36" s="103">
        <f t="shared" si="5"/>
        <v>311.60682865995642</v>
      </c>
      <c r="M36" s="103">
        <f t="shared" si="6"/>
        <v>49.58733746975755</v>
      </c>
      <c r="N36" s="118">
        <f>J36/Steuerung!$D$4</f>
        <v>0.5940212877256883</v>
      </c>
      <c r="O36" s="103">
        <f>K36/Steuerung!$D$2</f>
        <v>-7.0197562310388026E-2</v>
      </c>
      <c r="P36" s="57">
        <f>60*M36/Steuerung!$D$1</f>
        <v>0.99174674939515095</v>
      </c>
      <c r="Q36" s="103">
        <f t="shared" si="7"/>
        <v>9.8293845641705602</v>
      </c>
      <c r="R36" s="57">
        <f t="shared" si="8"/>
        <v>0.43091092168619838</v>
      </c>
      <c r="S36" s="57">
        <f t="shared" si="9"/>
        <v>9.3984736424843618</v>
      </c>
    </row>
    <row r="37" spans="1:19">
      <c r="A37" s="64">
        <v>21</v>
      </c>
      <c r="B37" s="64">
        <v>24</v>
      </c>
      <c r="C37" s="103">
        <f>B37*Steuerung!$D$1/(Steuerung!$D$4*60)</f>
        <v>50</v>
      </c>
      <c r="D37" s="103">
        <f t="shared" si="1"/>
        <v>0.5583263497644495</v>
      </c>
      <c r="E37" s="103">
        <f t="shared" si="0"/>
        <v>2.044682249845394</v>
      </c>
      <c r="F37" s="103">
        <f>E37*Steuerung!$C$9</f>
        <v>2.0446822498453941E-2</v>
      </c>
      <c r="G37" s="103">
        <f t="shared" si="2"/>
        <v>0.16357457998763153</v>
      </c>
      <c r="H37" s="64">
        <v>0</v>
      </c>
      <c r="I37" s="103">
        <f t="shared" si="3"/>
        <v>0</v>
      </c>
      <c r="J37" s="117">
        <f t="shared" si="4"/>
        <v>14.496933119197271</v>
      </c>
      <c r="K37" s="103">
        <f t="shared" si="10"/>
        <v>-0.11504136921500425</v>
      </c>
      <c r="L37" s="103">
        <f t="shared" si="5"/>
        <v>310.69147721808019</v>
      </c>
      <c r="M37" s="103">
        <f t="shared" si="6"/>
        <v>49.44167365023555</v>
      </c>
      <c r="N37" s="118">
        <f>J37/Steuerung!$D$4</f>
        <v>0.60403887996655292</v>
      </c>
      <c r="O37" s="103">
        <f>K37/Steuerung!$D$2</f>
        <v>-3.8347123071668085E-2</v>
      </c>
      <c r="P37" s="57">
        <f>60*M37/Steuerung!$D$1</f>
        <v>0.98883347300471103</v>
      </c>
      <c r="Q37" s="103">
        <f t="shared" si="7"/>
        <v>9.6219753528092049</v>
      </c>
      <c r="R37" s="57">
        <f t="shared" si="8"/>
        <v>0.27377049301051332</v>
      </c>
      <c r="S37" s="57">
        <f t="shared" si="9"/>
        <v>9.3482048597986918</v>
      </c>
    </row>
    <row r="38" spans="1:19">
      <c r="A38" s="64">
        <v>22</v>
      </c>
      <c r="B38" s="64">
        <v>24</v>
      </c>
      <c r="C38" s="103">
        <f>B38*Steuerung!$D$1/(Steuerung!$D$4*60)</f>
        <v>50</v>
      </c>
      <c r="D38" s="103">
        <f t="shared" si="1"/>
        <v>0.6131711378334046</v>
      </c>
      <c r="E38" s="103">
        <f t="shared" si="0"/>
        <v>2.6578533876787986</v>
      </c>
      <c r="F38" s="103">
        <f>E38*Steuerung!$C$9</f>
        <v>2.6578533876787987E-2</v>
      </c>
      <c r="G38" s="103">
        <f t="shared" si="2"/>
        <v>0.2126282710143039</v>
      </c>
      <c r="H38" s="64">
        <v>0</v>
      </c>
      <c r="I38" s="103">
        <f t="shared" si="3"/>
        <v>0</v>
      </c>
      <c r="J38" s="117">
        <f t="shared" si="4"/>
        <v>14.69327648346572</v>
      </c>
      <c r="K38" s="103">
        <f t="shared" si="10"/>
        <v>-4.3314939388955358E-2</v>
      </c>
      <c r="L38" s="103">
        <f t="shared" si="5"/>
        <v>310.34683256985488</v>
      </c>
      <c r="M38" s="103">
        <f t="shared" si="6"/>
        <v>49.386828862166595</v>
      </c>
      <c r="N38" s="118">
        <f>J38/Steuerung!$D$4</f>
        <v>0.61221985347773833</v>
      </c>
      <c r="O38" s="103">
        <f>K38/Steuerung!$D$2</f>
        <v>-1.4438313129651785E-2</v>
      </c>
      <c r="P38" s="57">
        <f>60*M38/Steuerung!$D$1</f>
        <v>0.98773657724333197</v>
      </c>
      <c r="Q38" s="103">
        <f t="shared" si="7"/>
        <v>9.4702980965219119</v>
      </c>
      <c r="R38" s="57">
        <f t="shared" si="8"/>
        <v>0.14955377997950553</v>
      </c>
      <c r="S38" s="57">
        <f t="shared" si="9"/>
        <v>9.320744316542406</v>
      </c>
    </row>
    <row r="39" spans="1:19">
      <c r="A39" s="64">
        <v>23</v>
      </c>
      <c r="B39" s="64">
        <v>24</v>
      </c>
      <c r="C39" s="103">
        <f>B39*Steuerung!$D$1/(Steuerung!$D$4*60)</f>
        <v>50</v>
      </c>
      <c r="D39" s="103">
        <f t="shared" si="1"/>
        <v>0.60388039408500305</v>
      </c>
      <c r="E39" s="103">
        <f t="shared" si="0"/>
        <v>3.2617337817638017</v>
      </c>
      <c r="F39" s="103">
        <f>E39*Steuerung!$C$9</f>
        <v>3.2617337817638016E-2</v>
      </c>
      <c r="G39" s="103">
        <f t="shared" si="2"/>
        <v>0.26093870254110413</v>
      </c>
      <c r="H39" s="64">
        <v>0</v>
      </c>
      <c r="I39" s="103">
        <f t="shared" si="3"/>
        <v>0</v>
      </c>
      <c r="J39" s="117">
        <f t="shared" si="4"/>
        <v>14.845913872713016</v>
      </c>
      <c r="K39" s="103">
        <f t="shared" si="10"/>
        <v>7.3375796772961891E-3</v>
      </c>
      <c r="L39" s="103">
        <f t="shared" si="5"/>
        <v>310.40521560356984</v>
      </c>
      <c r="M39" s="103">
        <f t="shared" si="6"/>
        <v>49.396119605914997</v>
      </c>
      <c r="N39" s="118">
        <f>J39/Steuerung!$D$4</f>
        <v>0.61857974469637567</v>
      </c>
      <c r="O39" s="103">
        <f>K39/Steuerung!$D$2</f>
        <v>2.445859892432063E-3</v>
      </c>
      <c r="P39" s="57">
        <f>60*M39/Steuerung!$D$1</f>
        <v>0.98792239211829991</v>
      </c>
      <c r="Q39" s="103">
        <f t="shared" si="7"/>
        <v>9.366714398301287</v>
      </c>
      <c r="R39" s="57">
        <f t="shared" si="8"/>
        <v>5.6309421205641967E-2</v>
      </c>
      <c r="S39" s="57">
        <f t="shared" si="9"/>
        <v>9.3104049770956454</v>
      </c>
    </row>
    <row r="40" spans="1:19">
      <c r="A40" s="64">
        <v>24</v>
      </c>
      <c r="B40" s="64">
        <v>24</v>
      </c>
      <c r="C40" s="103">
        <f>B40*Steuerung!$D$1/(Steuerung!$D$4*60)</f>
        <v>50</v>
      </c>
      <c r="D40" s="103">
        <f t="shared" si="1"/>
        <v>0.55286007825218064</v>
      </c>
      <c r="E40" s="103">
        <f t="shared" si="0"/>
        <v>3.8145938600159823</v>
      </c>
      <c r="F40" s="103">
        <f>E40*Steuerung!$C$9</f>
        <v>3.8145938600159822E-2</v>
      </c>
      <c r="G40" s="103">
        <f t="shared" si="2"/>
        <v>0.30516750880127858</v>
      </c>
      <c r="H40" s="64">
        <v>0</v>
      </c>
      <c r="I40" s="103">
        <f t="shared" si="3"/>
        <v>0</v>
      </c>
      <c r="J40" s="117">
        <f t="shared" si="4"/>
        <v>14.958321088014495</v>
      </c>
      <c r="K40" s="103">
        <f t="shared" si="10"/>
        <v>4.0294474018669833E-2</v>
      </c>
      <c r="L40" s="103">
        <f t="shared" si="5"/>
        <v>310.72582726826329</v>
      </c>
      <c r="M40" s="103">
        <f t="shared" si="6"/>
        <v>49.447139921747819</v>
      </c>
      <c r="N40" s="118">
        <f>J40/Steuerung!$D$4</f>
        <v>0.62326337866727066</v>
      </c>
      <c r="O40" s="103">
        <f>K40/Steuerung!$D$2</f>
        <v>1.3431491339556611E-2</v>
      </c>
      <c r="P40" s="57">
        <f>60*M40/Steuerung!$D$1</f>
        <v>0.98894279843495636</v>
      </c>
      <c r="Q40" s="103">
        <f t="shared" si="7"/>
        <v>9.3026176145266088</v>
      </c>
      <c r="R40" s="57">
        <f t="shared" si="8"/>
        <v>-9.5388535804850454E-3</v>
      </c>
      <c r="S40" s="57">
        <f t="shared" si="9"/>
        <v>9.3121564681070943</v>
      </c>
    </row>
    <row r="41" spans="1:19">
      <c r="A41" s="64">
        <v>25</v>
      </c>
      <c r="B41" s="64">
        <v>24</v>
      </c>
      <c r="C41" s="103">
        <f>B41*Steuerung!$D$1/(Steuerung!$D$4*60)</f>
        <v>50</v>
      </c>
      <c r="D41" s="103">
        <f t="shared" si="1"/>
        <v>0.47802718995795601</v>
      </c>
      <c r="E41" s="103">
        <f t="shared" si="0"/>
        <v>4.2926210499739383</v>
      </c>
      <c r="F41" s="103">
        <f>E41*Steuerung!$C$9</f>
        <v>4.2926210499739381E-2</v>
      </c>
      <c r="G41" s="103">
        <f t="shared" si="2"/>
        <v>0.34340968399791505</v>
      </c>
      <c r="H41" s="64">
        <v>0</v>
      </c>
      <c r="I41" s="103">
        <f t="shared" si="3"/>
        <v>0</v>
      </c>
      <c r="J41" s="117">
        <f t="shared" si="4"/>
        <v>15.035775506977652</v>
      </c>
      <c r="K41" s="103">
        <f t="shared" si="10"/>
        <v>5.9101003666743292E-2</v>
      </c>
      <c r="L41" s="103">
        <f t="shared" si="5"/>
        <v>311.19607713830419</v>
      </c>
      <c r="M41" s="103">
        <f t="shared" si="6"/>
        <v>49.521972810042044</v>
      </c>
      <c r="N41" s="118">
        <f>J41/Steuerung!$D$4</f>
        <v>0.6264906461240688</v>
      </c>
      <c r="O41" s="103">
        <f>K41/Steuerung!$D$2</f>
        <v>1.9700334555581098E-2</v>
      </c>
      <c r="P41" s="57">
        <f>60*M41/Steuerung!$D$1</f>
        <v>0.99043945620084095</v>
      </c>
      <c r="Q41" s="103">
        <f t="shared" si="7"/>
        <v>9.2693920018236273</v>
      </c>
      <c r="R41" s="57">
        <f t="shared" si="8"/>
        <v>-5.2382816224270788E-2</v>
      </c>
      <c r="S41" s="57">
        <f t="shared" si="9"/>
        <v>9.3217748180478974</v>
      </c>
    </row>
    <row r="42" spans="1:19">
      <c r="A42" s="64">
        <v>26</v>
      </c>
      <c r="B42" s="64">
        <v>24</v>
      </c>
      <c r="C42" s="103">
        <f>B42*Steuerung!$D$1/(Steuerung!$D$4*60)</f>
        <v>50</v>
      </c>
      <c r="D42" s="103">
        <f t="shared" si="1"/>
        <v>4.1915603578522891</v>
      </c>
      <c r="E42" s="103">
        <f t="shared" si="0"/>
        <v>8.4841814078262274</v>
      </c>
      <c r="F42" s="103">
        <f>E42*Steuerung!$C$9</f>
        <v>8.4841814078262273E-2</v>
      </c>
      <c r="G42" s="103">
        <f t="shared" si="2"/>
        <v>0.67873451262609819</v>
      </c>
      <c r="H42" s="118">
        <f>Steuerung!$I$2</f>
        <v>0.14322087842138764</v>
      </c>
      <c r="I42" s="103">
        <f t="shared" si="3"/>
        <v>-23.870146403564611</v>
      </c>
      <c r="J42" s="117">
        <f t="shared" si="4"/>
        <v>15.084358674615556</v>
      </c>
      <c r="K42" s="103">
        <f t="shared" si="10"/>
        <v>6.715132376861177E-2</v>
      </c>
      <c r="L42" s="103">
        <f t="shared" si="5"/>
        <v>287.86023471125623</v>
      </c>
      <c r="M42" s="103">
        <f t="shared" si="6"/>
        <v>45.808439642147711</v>
      </c>
      <c r="N42" s="118">
        <f>J42/Steuerung!$D$4</f>
        <v>0.62851494477564818</v>
      </c>
      <c r="O42" s="103">
        <f>K42/Steuerung!$D$2</f>
        <v>2.2383774589537258E-2</v>
      </c>
      <c r="P42" s="57">
        <f>60*M42/Steuerung!$D$1</f>
        <v>0.91616879284295416</v>
      </c>
      <c r="Q42" s="103">
        <f t="shared" si="7"/>
        <v>9.2590510093823593</v>
      </c>
      <c r="R42" s="57">
        <f t="shared" si="8"/>
        <v>-7.6831304766766279E-2</v>
      </c>
      <c r="S42" s="57">
        <f t="shared" si="9"/>
        <v>9.3358823141491261</v>
      </c>
    </row>
    <row r="43" spans="1:19">
      <c r="A43" s="64">
        <v>27</v>
      </c>
      <c r="B43" s="64">
        <v>24</v>
      </c>
      <c r="C43" s="103">
        <f>B43*Steuerung!$D$1/(Steuerung!$D$4*60)</f>
        <v>50</v>
      </c>
      <c r="D43" s="103">
        <f t="shared" si="1"/>
        <v>7.1188863735259886</v>
      </c>
      <c r="E43" s="103">
        <f t="shared" si="0"/>
        <v>15.603067781352216</v>
      </c>
      <c r="F43" s="103">
        <f>E43*Steuerung!$C$9</f>
        <v>0.15603067781352217</v>
      </c>
      <c r="G43" s="103">
        <f t="shared" si="2"/>
        <v>1.2482454225081774</v>
      </c>
      <c r="H43" s="118">
        <f>Steuerung!$I$2</f>
        <v>0.14322087842138764</v>
      </c>
      <c r="I43" s="103">
        <f t="shared" si="3"/>
        <v>-23.870146403564611</v>
      </c>
      <c r="J43" s="117">
        <f t="shared" si="4"/>
        <v>16.130224192187605</v>
      </c>
      <c r="K43" s="103">
        <f t="shared" si="10"/>
        <v>0.68807659934420695</v>
      </c>
      <c r="L43" s="103">
        <f t="shared" si="5"/>
        <v>269.46491802876267</v>
      </c>
      <c r="M43" s="103">
        <f t="shared" si="6"/>
        <v>42.881113626474011</v>
      </c>
      <c r="N43" s="118">
        <f>J43/Steuerung!$D$4</f>
        <v>0.67209267467448353</v>
      </c>
      <c r="O43" s="103">
        <f>K43/Steuerung!$D$2</f>
        <v>0.22935886644806899</v>
      </c>
      <c r="P43" s="57">
        <f>60*M43/Steuerung!$D$1</f>
        <v>0.85762227252948031</v>
      </c>
      <c r="Q43" s="103">
        <f t="shared" si="7"/>
        <v>8.548510320438492</v>
      </c>
      <c r="R43" s="57">
        <f t="shared" si="8"/>
        <v>-8.729672089919531E-2</v>
      </c>
      <c r="S43" s="57">
        <f t="shared" si="9"/>
        <v>8.6358070413376868</v>
      </c>
    </row>
    <row r="44" spans="1:19">
      <c r="A44" s="64">
        <v>28</v>
      </c>
      <c r="B44" s="64">
        <v>24</v>
      </c>
      <c r="C44" s="103">
        <f>B44*Steuerung!$D$1/(Steuerung!$D$4*60)</f>
        <v>50</v>
      </c>
      <c r="D44" s="103">
        <f t="shared" si="1"/>
        <v>9.0023426970761378</v>
      </c>
      <c r="E44" s="103">
        <f t="shared" si="0"/>
        <v>24.605410478428354</v>
      </c>
      <c r="F44" s="103">
        <f>E44*Steuerung!$C$9</f>
        <v>0.24605410478428355</v>
      </c>
      <c r="G44" s="103">
        <f t="shared" si="2"/>
        <v>1.9684328382742684</v>
      </c>
      <c r="H44" s="118">
        <f>Steuerung!$I$2</f>
        <v>0.14322087842138764</v>
      </c>
      <c r="I44" s="103">
        <f t="shared" si="3"/>
        <v>-23.870146403564611</v>
      </c>
      <c r="J44" s="117">
        <f t="shared" si="4"/>
        <v>18.058797460792768</v>
      </c>
      <c r="K44" s="103">
        <f t="shared" si="10"/>
        <v>1.5124968229660678</v>
      </c>
      <c r="L44" s="103">
        <f t="shared" si="5"/>
        <v>257.62927849157353</v>
      </c>
      <c r="M44" s="103">
        <f t="shared" si="6"/>
        <v>40.997657302923862</v>
      </c>
      <c r="N44" s="118">
        <f>J44/Steuerung!$D$4</f>
        <v>0.75244989419969865</v>
      </c>
      <c r="O44" s="103">
        <f>K44/Steuerung!$D$2</f>
        <v>0.5041656076553559</v>
      </c>
      <c r="P44" s="57">
        <f>60*M44/Steuerung!$D$1</f>
        <v>0.81995314605847736</v>
      </c>
      <c r="Q44" s="103">
        <f t="shared" si="7"/>
        <v>7.1894479617154108</v>
      </c>
      <c r="R44" s="57">
        <f t="shared" si="8"/>
        <v>-0.89449957914746903</v>
      </c>
      <c r="S44" s="57">
        <f t="shared" si="9"/>
        <v>8.08394754086288</v>
      </c>
    </row>
    <row r="45" spans="1:19">
      <c r="A45" s="64">
        <v>29</v>
      </c>
      <c r="B45" s="64">
        <v>24</v>
      </c>
      <c r="C45" s="103">
        <f>B45*Steuerung!$D$1/(Steuerung!$D$4*60)</f>
        <v>50</v>
      </c>
      <c r="D45" s="103">
        <f t="shared" si="1"/>
        <v>9.8689940153705038</v>
      </c>
      <c r="E45" s="103">
        <f t="shared" si="0"/>
        <v>34.474404493798858</v>
      </c>
      <c r="F45" s="103">
        <f>E45*Steuerung!$C$9</f>
        <v>0.3447440449379886</v>
      </c>
      <c r="G45" s="103">
        <f t="shared" si="2"/>
        <v>2.7579523595039088</v>
      </c>
      <c r="H45" s="118">
        <f>Steuerung!$I$2</f>
        <v>0.14322087842138764</v>
      </c>
      <c r="I45" s="103">
        <f t="shared" si="3"/>
        <v>-23.870146403564611</v>
      </c>
      <c r="J45" s="117">
        <f t="shared" si="4"/>
        <v>20.205800353382951</v>
      </c>
      <c r="K45" s="103">
        <f t="shared" si="10"/>
        <v>2.3155420843985457</v>
      </c>
      <c r="L45" s="103">
        <f t="shared" si="5"/>
        <v>252.18324160741173</v>
      </c>
      <c r="M45" s="103">
        <f t="shared" si="6"/>
        <v>40.131005984629496</v>
      </c>
      <c r="N45" s="118">
        <f>J45/Steuerung!$D$4</f>
        <v>0.84190834805762294</v>
      </c>
      <c r="O45" s="103">
        <f>K45/Steuerung!$D$2</f>
        <v>0.77184736146618194</v>
      </c>
      <c r="P45" s="57">
        <f>60*M45/Steuerung!$D$1</f>
        <v>0.80262011969258995</v>
      </c>
      <c r="Q45" s="103">
        <f t="shared" si="7"/>
        <v>5.7626324848913173</v>
      </c>
      <c r="R45" s="57">
        <f t="shared" si="8"/>
        <v>-1.9662458698558882</v>
      </c>
      <c r="S45" s="57">
        <f t="shared" si="9"/>
        <v>7.7288783547472057</v>
      </c>
    </row>
    <row r="46" spans="1:19">
      <c r="A46" s="64">
        <v>30</v>
      </c>
      <c r="B46" s="64">
        <v>24</v>
      </c>
      <c r="C46" s="103">
        <f>B46*Steuerung!$D$1/(Steuerung!$D$4*60)</f>
        <v>50</v>
      </c>
      <c r="D46" s="103">
        <f t="shared" si="1"/>
        <v>9.8852424593829298</v>
      </c>
      <c r="E46" s="103">
        <f t="shared" si="0"/>
        <v>44.359646953181787</v>
      </c>
      <c r="F46" s="103">
        <f>E46*Steuerung!$C$9</f>
        <v>0.44359646953181786</v>
      </c>
      <c r="G46" s="103">
        <f t="shared" si="2"/>
        <v>3.5487717562545429</v>
      </c>
      <c r="H46" s="118">
        <f>Steuerung!$I$2</f>
        <v>0.14322087842138764</v>
      </c>
      <c r="I46" s="103">
        <f t="shared" si="3"/>
        <v>-23.870146403564611</v>
      </c>
      <c r="J46" s="117">
        <f t="shared" si="4"/>
        <v>22.202659820999671</v>
      </c>
      <c r="K46" s="103">
        <f t="shared" si="10"/>
        <v>2.987167415677157</v>
      </c>
      <c r="L46" s="103">
        <f t="shared" si="5"/>
        <v>252.08113638523764</v>
      </c>
      <c r="M46" s="103">
        <f t="shared" si="6"/>
        <v>40.11475754061707</v>
      </c>
      <c r="N46" s="118">
        <f>J46/Steuerung!$D$4</f>
        <v>0.92511082587498628</v>
      </c>
      <c r="O46" s="103">
        <f>K46/Steuerung!$D$2</f>
        <v>0.99572247189238572</v>
      </c>
      <c r="P46" s="57">
        <f>60*M46/Steuerung!$D$1</f>
        <v>0.80229515081234137</v>
      </c>
      <c r="Q46" s="103">
        <f t="shared" si="7"/>
        <v>4.5552925385042418</v>
      </c>
      <c r="R46" s="57">
        <f t="shared" si="8"/>
        <v>-3.0102047097181095</v>
      </c>
      <c r="S46" s="57">
        <f t="shared" si="9"/>
        <v>7.5654972482223517</v>
      </c>
    </row>
    <row r="47" spans="1:19">
      <c r="A47" s="64">
        <v>31</v>
      </c>
      <c r="B47" s="64">
        <v>24</v>
      </c>
      <c r="C47" s="103">
        <f>B47*Steuerung!$D$1/(Steuerung!$D$4*60)</f>
        <v>50</v>
      </c>
      <c r="D47" s="103">
        <f t="shared" si="1"/>
        <v>9.2687234994512693</v>
      </c>
      <c r="E47" s="103">
        <f t="shared" si="0"/>
        <v>53.628370452633057</v>
      </c>
      <c r="F47" s="103">
        <f>E47*Steuerung!$C$9</f>
        <v>0.53628370452633056</v>
      </c>
      <c r="G47" s="103">
        <f t="shared" si="2"/>
        <v>4.2902696362106445</v>
      </c>
      <c r="H47" s="118">
        <f>Steuerung!$I$2</f>
        <v>0.14322087842138764</v>
      </c>
      <c r="I47" s="103">
        <f t="shared" si="3"/>
        <v>-23.870146403564611</v>
      </c>
      <c r="J47" s="117">
        <f t="shared" si="4"/>
        <v>23.869655305077718</v>
      </c>
      <c r="K47" s="103">
        <f t="shared" si="10"/>
        <v>3.4869101025243854</v>
      </c>
      <c r="L47" s="103">
        <f t="shared" si="5"/>
        <v>255.95534152944822</v>
      </c>
      <c r="M47" s="103">
        <f t="shared" si="6"/>
        <v>40.731276500548731</v>
      </c>
      <c r="N47" s="118">
        <f>J47/Steuerung!$D$4</f>
        <v>0.99456897104490494</v>
      </c>
      <c r="O47" s="103">
        <f>K47/Steuerung!$D$2</f>
        <v>1.1623033675081285</v>
      </c>
      <c r="P47" s="57">
        <f>60*M47/Steuerung!$D$1</f>
        <v>0.81462553001097471</v>
      </c>
      <c r="Q47" s="103">
        <f t="shared" si="7"/>
        <v>3.6791164511768244</v>
      </c>
      <c r="R47" s="57">
        <f t="shared" si="8"/>
        <v>-3.8833176403803042</v>
      </c>
      <c r="S47" s="57">
        <f t="shared" si="9"/>
        <v>7.5624340915571286</v>
      </c>
    </row>
    <row r="48" spans="1:19">
      <c r="A48" s="64">
        <v>32</v>
      </c>
      <c r="B48" s="64">
        <v>24</v>
      </c>
      <c r="C48" s="103">
        <f>B48*Steuerung!$D$1/(Steuerung!$D$4*60)</f>
        <v>50</v>
      </c>
      <c r="D48" s="103">
        <f t="shared" si="1"/>
        <v>8.2374182426651146</v>
      </c>
      <c r="E48" s="103">
        <f t="shared" si="0"/>
        <v>61.865788695298171</v>
      </c>
      <c r="F48" s="103">
        <f>E48*Steuerung!$C$9</f>
        <v>0.61865788695298174</v>
      </c>
      <c r="G48" s="103">
        <f t="shared" si="2"/>
        <v>4.9492630956238539</v>
      </c>
      <c r="H48" s="118">
        <f>Steuerung!$I$2</f>
        <v>0.14322087842138764</v>
      </c>
      <c r="I48" s="103">
        <f t="shared" si="3"/>
        <v>-23.870146403564611</v>
      </c>
      <c r="J48" s="117">
        <f t="shared" si="4"/>
        <v>25.1445925236089</v>
      </c>
      <c r="K48" s="103">
        <f t="shared" si="10"/>
        <v>3.8144971703244046</v>
      </c>
      <c r="L48" s="103">
        <f t="shared" si="5"/>
        <v>262.43606376309242</v>
      </c>
      <c r="M48" s="103">
        <f t="shared" si="6"/>
        <v>41.762581757334885</v>
      </c>
      <c r="N48" s="118">
        <f>J48/Steuerung!$D$4</f>
        <v>1.0476913551503708</v>
      </c>
      <c r="O48" s="103">
        <f>K48/Steuerung!$D$2</f>
        <v>1.2714990567748015</v>
      </c>
      <c r="P48" s="57">
        <f>60*M48/Steuerung!$D$1</f>
        <v>0.83525163514669776</v>
      </c>
      <c r="Q48" s="103">
        <f t="shared" si="7"/>
        <v>3.1456771126017449</v>
      </c>
      <c r="R48" s="57">
        <f t="shared" si="8"/>
        <v>-4.532983133281701</v>
      </c>
      <c r="S48" s="57">
        <f t="shared" si="9"/>
        <v>7.6786602458834459</v>
      </c>
    </row>
    <row r="49" spans="1:19">
      <c r="A49" s="64">
        <v>33</v>
      </c>
      <c r="B49" s="64">
        <v>24</v>
      </c>
      <c r="C49" s="103">
        <f>B49*Steuerung!$D$1/(Steuerung!$D$4*60)</f>
        <v>50</v>
      </c>
      <c r="D49" s="103">
        <f t="shared" si="1"/>
        <v>6.9827738840485196</v>
      </c>
      <c r="E49" s="103">
        <f t="shared" si="0"/>
        <v>68.848562579346691</v>
      </c>
      <c r="F49" s="103">
        <f>E49*Steuerung!$C$9</f>
        <v>0.68848562579346695</v>
      </c>
      <c r="G49" s="103">
        <f t="shared" si="2"/>
        <v>5.5078850063477356</v>
      </c>
      <c r="H49" s="118">
        <f>Steuerung!$I$2</f>
        <v>0.14322087842138764</v>
      </c>
      <c r="I49" s="103">
        <f t="shared" si="3"/>
        <v>-23.870146403564611</v>
      </c>
      <c r="J49" s="117">
        <f t="shared" si="4"/>
        <v>26.035027504152808</v>
      </c>
      <c r="K49" s="103">
        <f t="shared" si="10"/>
        <v>3.9908843895950277</v>
      </c>
      <c r="L49" s="103">
        <f t="shared" si="5"/>
        <v>270.3202489126391</v>
      </c>
      <c r="M49" s="103">
        <f t="shared" si="6"/>
        <v>43.01722611595148</v>
      </c>
      <c r="N49" s="118">
        <f>J49/Steuerung!$D$4</f>
        <v>1.0847928126730337</v>
      </c>
      <c r="O49" s="103">
        <f>K49/Steuerung!$D$2</f>
        <v>1.3302947965316758</v>
      </c>
      <c r="P49" s="57">
        <f>60*M49/Steuerung!$D$1</f>
        <v>0.86034452231902958</v>
      </c>
      <c r="Q49" s="103">
        <f t="shared" si="7"/>
        <v>2.914235591471046</v>
      </c>
      <c r="R49" s="57">
        <f t="shared" si="8"/>
        <v>-4.958846321421726</v>
      </c>
      <c r="S49" s="57">
        <f t="shared" si="9"/>
        <v>7.873081912892772</v>
      </c>
    </row>
    <row r="50" spans="1:19">
      <c r="A50" s="64">
        <v>34</v>
      </c>
      <c r="B50" s="64">
        <v>24</v>
      </c>
      <c r="C50" s="103">
        <f>B50*Steuerung!$D$1/(Steuerung!$D$4*60)</f>
        <v>50</v>
      </c>
      <c r="D50" s="103">
        <f t="shared" si="1"/>
        <v>5.6580333245399075</v>
      </c>
      <c r="E50" s="103">
        <f t="shared" si="0"/>
        <v>74.506595903886591</v>
      </c>
      <c r="F50" s="103">
        <f>E50*Steuerung!$C$9</f>
        <v>0.74506595903886597</v>
      </c>
      <c r="G50" s="103">
        <f t="shared" si="2"/>
        <v>5.9605276723109277</v>
      </c>
      <c r="H50" s="118">
        <f>Steuerung!$I$2</f>
        <v>0.14322087842138764</v>
      </c>
      <c r="I50" s="103">
        <f t="shared" si="3"/>
        <v>-23.870146403564611</v>
      </c>
      <c r="J50" s="117">
        <f t="shared" si="4"/>
        <v>26.586427245442099</v>
      </c>
      <c r="K50" s="103">
        <f t="shared" si="10"/>
        <v>4.0462444848736618</v>
      </c>
      <c r="L50" s="103">
        <f t="shared" si="5"/>
        <v>278.64491858859122</v>
      </c>
      <c r="M50" s="103">
        <f t="shared" si="6"/>
        <v>44.341966675460093</v>
      </c>
      <c r="N50" s="118">
        <f>J50/Steuerung!$D$4</f>
        <v>1.1077678018934207</v>
      </c>
      <c r="O50" s="103">
        <f>K50/Steuerung!$D$2</f>
        <v>1.348748161624554</v>
      </c>
      <c r="P50" s="57">
        <f>60*M50/Steuerung!$D$1</f>
        <v>0.88683933350920185</v>
      </c>
      <c r="Q50" s="103">
        <f t="shared" si="7"/>
        <v>2.9214577609056365</v>
      </c>
      <c r="R50" s="57">
        <f t="shared" si="8"/>
        <v>-5.1881497064735358</v>
      </c>
      <c r="S50" s="57">
        <f t="shared" si="9"/>
        <v>8.1096074673791723</v>
      </c>
    </row>
    <row r="51" spans="1:19">
      <c r="A51" s="64">
        <v>35</v>
      </c>
      <c r="B51" s="64">
        <v>24</v>
      </c>
      <c r="C51" s="103">
        <f>B51*Steuerung!$D$1/(Steuerung!$D$4*60)</f>
        <v>50</v>
      </c>
      <c r="D51" s="103">
        <f t="shared" si="1"/>
        <v>4.375870213081221</v>
      </c>
      <c r="E51" s="103">
        <f t="shared" si="0"/>
        <v>78.882466116967805</v>
      </c>
      <c r="F51" s="103">
        <f>E51*Steuerung!$C$9</f>
        <v>0.78882466116967809</v>
      </c>
      <c r="G51" s="103">
        <f t="shared" si="2"/>
        <v>6.3105972893574247</v>
      </c>
      <c r="H51" s="118">
        <f>Steuerung!$I$2</f>
        <v>0.14322087842138764</v>
      </c>
      <c r="I51" s="103">
        <f t="shared" si="3"/>
        <v>-23.870146403564611</v>
      </c>
      <c r="J51" s="117">
        <f t="shared" si="4"/>
        <v>26.861297944988952</v>
      </c>
      <c r="K51" s="103">
        <f t="shared" si="10"/>
        <v>4.0126179608856338</v>
      </c>
      <c r="L51" s="103">
        <f t="shared" si="5"/>
        <v>286.70203158099758</v>
      </c>
      <c r="M51" s="103">
        <f t="shared" si="6"/>
        <v>45.624129786918779</v>
      </c>
      <c r="N51" s="118">
        <f>J51/Steuerung!$D$4</f>
        <v>1.1192207477078731</v>
      </c>
      <c r="O51" s="103">
        <f>K51/Steuerung!$D$2</f>
        <v>1.3375393202952113</v>
      </c>
      <c r="P51" s="57">
        <f>60*M51/Steuerung!$D$1</f>
        <v>0.91248259573837565</v>
      </c>
      <c r="Q51" s="103">
        <f t="shared" si="7"/>
        <v>3.0992297273219762</v>
      </c>
      <c r="R51" s="57">
        <f t="shared" si="8"/>
        <v>-5.2601178303357603</v>
      </c>
      <c r="S51" s="57">
        <f t="shared" si="9"/>
        <v>8.3593475576577365</v>
      </c>
    </row>
    <row r="52" spans="1:19">
      <c r="A52" s="64">
        <v>36</v>
      </c>
      <c r="B52" s="64">
        <v>24</v>
      </c>
      <c r="C52" s="103">
        <f>B52*Steuerung!$D$1/(Steuerung!$D$4*60)</f>
        <v>50</v>
      </c>
      <c r="D52" s="103">
        <f t="shared" si="1"/>
        <v>3.2113690131043171</v>
      </c>
      <c r="E52" s="103">
        <f t="shared" si="0"/>
        <v>82.093835130072122</v>
      </c>
      <c r="F52" s="103">
        <f>E52*Steuerung!$C$9</f>
        <v>0.82093835130072124</v>
      </c>
      <c r="G52" s="103">
        <f t="shared" si="2"/>
        <v>6.5675068104057699</v>
      </c>
      <c r="H52" s="118">
        <f>Steuerung!$I$2</f>
        <v>0.14322087842138764</v>
      </c>
      <c r="I52" s="103">
        <f t="shared" si="3"/>
        <v>-23.870146403564611</v>
      </c>
      <c r="J52" s="117">
        <f t="shared" si="4"/>
        <v>26.925939691078824</v>
      </c>
      <c r="K52" s="103">
        <f t="shared" si="10"/>
        <v>3.9196917459495046</v>
      </c>
      <c r="L52" s="103">
        <f t="shared" si="5"/>
        <v>294.01975712165245</v>
      </c>
      <c r="M52" s="103">
        <f t="shared" si="6"/>
        <v>46.788630986895683</v>
      </c>
      <c r="N52" s="118">
        <f>J52/Steuerung!$D$4</f>
        <v>1.1219141537949511</v>
      </c>
      <c r="O52" s="103">
        <f>K52/Steuerung!$D$2</f>
        <v>1.3065639153165016</v>
      </c>
      <c r="P52" s="57">
        <f>60*M52/Steuerung!$D$1</f>
        <v>0.9357726197379137</v>
      </c>
      <c r="Q52" s="103">
        <f t="shared" si="7"/>
        <v>3.3846575982786025</v>
      </c>
      <c r="R52" s="57">
        <f t="shared" si="8"/>
        <v>-5.2164033491513244</v>
      </c>
      <c r="S52" s="57">
        <f t="shared" si="9"/>
        <v>8.6010609474299269</v>
      </c>
    </row>
    <row r="53" spans="1:19">
      <c r="A53" s="64">
        <v>37</v>
      </c>
      <c r="B53" s="64">
        <v>24</v>
      </c>
      <c r="C53" s="103">
        <f>B53*Steuerung!$D$1/(Steuerung!$D$4*60)</f>
        <v>50</v>
      </c>
      <c r="D53" s="103">
        <f t="shared" si="1"/>
        <v>2.2077199185710583</v>
      </c>
      <c r="E53" s="103">
        <f t="shared" si="0"/>
        <v>84.301555048643181</v>
      </c>
      <c r="F53" s="103">
        <f>E53*Steuerung!$C$9</f>
        <v>0.84301555048643184</v>
      </c>
      <c r="G53" s="103">
        <f t="shared" si="2"/>
        <v>6.7441244038914547</v>
      </c>
      <c r="H53" s="118">
        <f>Steuerung!$I$2</f>
        <v>0.14322087842138764</v>
      </c>
      <c r="I53" s="103">
        <f t="shared" si="3"/>
        <v>-23.870146403564611</v>
      </c>
      <c r="J53" s="117">
        <f t="shared" si="4"/>
        <v>26.842513366490554</v>
      </c>
      <c r="K53" s="103">
        <f t="shared" si="10"/>
        <v>3.79265507677471</v>
      </c>
      <c r="L53" s="103">
        <f t="shared" si="5"/>
        <v>300.32668803169946</v>
      </c>
      <c r="M53" s="103">
        <f t="shared" si="6"/>
        <v>47.792280081428942</v>
      </c>
      <c r="N53" s="118">
        <f>J53/Steuerung!$D$4</f>
        <v>1.1184380569371064</v>
      </c>
      <c r="O53" s="103">
        <f>K53/Steuerung!$D$2</f>
        <v>1.2642183589249034</v>
      </c>
      <c r="P53" s="57">
        <f>60*M53/Steuerung!$D$1</f>
        <v>0.95584560162857879</v>
      </c>
      <c r="Q53" s="103">
        <f t="shared" si="7"/>
        <v>3.7249934439152161</v>
      </c>
      <c r="R53" s="57">
        <f t="shared" si="8"/>
        <v>-5.0955992697343566</v>
      </c>
      <c r="S53" s="57">
        <f t="shared" si="9"/>
        <v>8.8205927136495728</v>
      </c>
    </row>
    <row r="54" spans="1:19">
      <c r="A54" s="64">
        <v>38</v>
      </c>
      <c r="B54" s="64">
        <v>24</v>
      </c>
      <c r="C54" s="103">
        <f>B54*Steuerung!$D$1/(Steuerung!$D$4*60)</f>
        <v>50</v>
      </c>
      <c r="D54" s="103">
        <f t="shared" si="1"/>
        <v>1.3829221118293376</v>
      </c>
      <c r="E54" s="103">
        <f t="shared" si="0"/>
        <v>85.684477160472511</v>
      </c>
      <c r="F54" s="103">
        <f>E54*Steuerung!$C$9</f>
        <v>0.85684477160472516</v>
      </c>
      <c r="G54" s="103">
        <f t="shared" si="2"/>
        <v>6.8547581728378013</v>
      </c>
      <c r="H54" s="118">
        <f>Steuerung!$I$2</f>
        <v>0.14322087842138764</v>
      </c>
      <c r="I54" s="103">
        <f t="shared" si="3"/>
        <v>-23.870146403564611</v>
      </c>
      <c r="J54" s="117">
        <f t="shared" si="4"/>
        <v>26.664775362747594</v>
      </c>
      <c r="K54" s="103">
        <f t="shared" si="10"/>
        <v>3.6514031371995643</v>
      </c>
      <c r="L54" s="103">
        <f t="shared" si="5"/>
        <v>305.50971744926443</v>
      </c>
      <c r="M54" s="103">
        <f t="shared" si="6"/>
        <v>48.617077888170662</v>
      </c>
      <c r="N54" s="118">
        <f>J54/Steuerung!$D$4</f>
        <v>1.1110323067811498</v>
      </c>
      <c r="O54" s="103">
        <f>K54/Steuerung!$D$2</f>
        <v>1.2171343790665214</v>
      </c>
      <c r="P54" s="57">
        <f>60*M54/Steuerung!$D$1</f>
        <v>0.97234155776341324</v>
      </c>
      <c r="Q54" s="103">
        <f t="shared" si="7"/>
        <v>4.0793490411438604</v>
      </c>
      <c r="R54" s="57">
        <f t="shared" si="8"/>
        <v>-4.9304515998071228</v>
      </c>
      <c r="S54" s="57">
        <f t="shared" si="9"/>
        <v>9.0098006409509832</v>
      </c>
    </row>
    <row r="55" spans="1:19">
      <c r="A55" s="64">
        <v>39</v>
      </c>
      <c r="B55" s="64">
        <v>24</v>
      </c>
      <c r="C55" s="103">
        <f>B55*Steuerung!$D$1/(Steuerung!$D$4*60)</f>
        <v>50</v>
      </c>
      <c r="D55" s="103">
        <f t="shared" si="1"/>
        <v>0.73643444751184006</v>
      </c>
      <c r="E55" s="103">
        <f t="shared" si="0"/>
        <v>86.420911607984351</v>
      </c>
      <c r="F55" s="103">
        <f>E55*Steuerung!$C$9</f>
        <v>0.86420911607984352</v>
      </c>
      <c r="G55" s="103">
        <f t="shared" si="2"/>
        <v>6.9136729286387482</v>
      </c>
      <c r="H55" s="118">
        <f>Steuerung!$I$2</f>
        <v>0.14322087842138764</v>
      </c>
      <c r="I55" s="103">
        <f t="shared" si="3"/>
        <v>-23.870146403564611</v>
      </c>
      <c r="J55" s="117">
        <f t="shared" si="4"/>
        <v>26.436290727719303</v>
      </c>
      <c r="K55" s="103">
        <f t="shared" si="10"/>
        <v>3.5105785796895455</v>
      </c>
      <c r="L55" s="103">
        <f t="shared" si="5"/>
        <v>309.5722459318356</v>
      </c>
      <c r="M55" s="103">
        <f t="shared" si="6"/>
        <v>49.26356555248816</v>
      </c>
      <c r="N55" s="118">
        <f>J55/Steuerung!$D$4</f>
        <v>1.101512113654971</v>
      </c>
      <c r="O55" s="103">
        <f>K55/Steuerung!$D$2</f>
        <v>1.1701928598965152</v>
      </c>
      <c r="P55" s="57">
        <f>60*M55/Steuerung!$D$1</f>
        <v>0.98527131104976318</v>
      </c>
      <c r="Q55" s="103">
        <f t="shared" si="7"/>
        <v>4.4184674451184991</v>
      </c>
      <c r="R55" s="57">
        <f t="shared" si="8"/>
        <v>-4.7468240783594338</v>
      </c>
      <c r="S55" s="57">
        <f t="shared" si="9"/>
        <v>9.1652915234779329</v>
      </c>
    </row>
    <row r="56" spans="1:19">
      <c r="A56" s="64">
        <v>40</v>
      </c>
      <c r="B56" s="64">
        <v>24</v>
      </c>
      <c r="C56" s="103">
        <f>B56*Steuerung!$D$1/(Steuerung!$D$4*60)</f>
        <v>50</v>
      </c>
      <c r="D56" s="103">
        <f t="shared" si="1"/>
        <v>0.25516249047641537</v>
      </c>
      <c r="E56" s="103">
        <f t="shared" si="0"/>
        <v>86.676074098460759</v>
      </c>
      <c r="F56" s="103">
        <f>E56*Steuerung!$C$9</f>
        <v>0.86676074098460765</v>
      </c>
      <c r="G56" s="103">
        <f t="shared" si="2"/>
        <v>6.9340859278768612</v>
      </c>
      <c r="H56" s="118">
        <f>Steuerung!$I$2</f>
        <v>0.14322087842138764</v>
      </c>
      <c r="I56" s="103">
        <f t="shared" si="3"/>
        <v>-23.870146403564611</v>
      </c>
      <c r="J56" s="117">
        <f t="shared" si="4"/>
        <v>26.190257704280086</v>
      </c>
      <c r="K56" s="103">
        <f t="shared" si="10"/>
        <v>3.3800956550763703</v>
      </c>
      <c r="L56" s="103">
        <f t="shared" si="5"/>
        <v>312.59655890984618</v>
      </c>
      <c r="M56" s="103">
        <f t="shared" si="6"/>
        <v>49.744837509523585</v>
      </c>
      <c r="N56" s="118">
        <f>J56/Steuerung!$D$4</f>
        <v>1.091260737678337</v>
      </c>
      <c r="O56" s="103">
        <f>K56/Steuerung!$D$2</f>
        <v>1.1266985516921235</v>
      </c>
      <c r="P56" s="57">
        <f>60*M56/Steuerung!$D$1</f>
        <v>0.99489675019047175</v>
      </c>
      <c r="Q56" s="103">
        <f t="shared" si="7"/>
        <v>4.7234152243586589</v>
      </c>
      <c r="R56" s="57">
        <f t="shared" si="8"/>
        <v>-4.5637521535964094</v>
      </c>
      <c r="S56" s="57">
        <f t="shared" si="9"/>
        <v>9.2871673779550683</v>
      </c>
    </row>
    <row r="57" spans="1:19">
      <c r="A57" s="64">
        <v>41</v>
      </c>
      <c r="B57" s="64">
        <v>24</v>
      </c>
      <c r="C57" s="103">
        <f>B57*Steuerung!$D$1/(Steuerung!$D$4*60)</f>
        <v>50</v>
      </c>
      <c r="D57" s="103">
        <f t="shared" si="1"/>
        <v>-8.152024672703817E-2</v>
      </c>
      <c r="E57" s="103">
        <f t="shared" si="0"/>
        <v>86.594553851733721</v>
      </c>
      <c r="F57" s="103">
        <f>E57*Steuerung!$C$9</f>
        <v>0.86594553851733724</v>
      </c>
      <c r="G57" s="103">
        <f t="shared" si="2"/>
        <v>6.9275643081386979</v>
      </c>
      <c r="H57" s="118">
        <f>Steuerung!$I$2</f>
        <v>0.14322087842138764</v>
      </c>
      <c r="I57" s="103">
        <f t="shared" si="3"/>
        <v>-23.870146403564611</v>
      </c>
      <c r="J57" s="117">
        <f t="shared" si="4"/>
        <v>25.95031351218076</v>
      </c>
      <c r="K57" s="103">
        <f t="shared" si="10"/>
        <v>3.2659029758113118</v>
      </c>
      <c r="L57" s="103">
        <f t="shared" si="5"/>
        <v>314.71227323043269</v>
      </c>
      <c r="M57" s="103">
        <f t="shared" si="6"/>
        <v>50.081520246727038</v>
      </c>
      <c r="N57" s="118">
        <f>J57/Steuerung!$D$4</f>
        <v>1.0812630630075317</v>
      </c>
      <c r="O57" s="103">
        <f>K57/Steuerung!$D$2</f>
        <v>1.0886343252704374</v>
      </c>
      <c r="P57" s="57">
        <f>60*M57/Steuerung!$D$1</f>
        <v>1.0016304049345408</v>
      </c>
      <c r="Q57" s="103">
        <f t="shared" si="7"/>
        <v>4.9837724156961025</v>
      </c>
      <c r="R57" s="57">
        <f t="shared" si="8"/>
        <v>-4.3941243515992818</v>
      </c>
      <c r="S57" s="57">
        <f t="shared" si="9"/>
        <v>9.3778967672953844</v>
      </c>
    </row>
    <row r="58" spans="1:19">
      <c r="A58" s="64">
        <v>42</v>
      </c>
      <c r="B58" s="64">
        <v>24</v>
      </c>
      <c r="C58" s="103">
        <f>B58*Steuerung!$D$1/(Steuerung!$D$4*60)</f>
        <v>50</v>
      </c>
      <c r="D58" s="103">
        <f t="shared" si="1"/>
        <v>-0.29781291656301789</v>
      </c>
      <c r="E58" s="103">
        <f t="shared" si="0"/>
        <v>86.296740935170703</v>
      </c>
      <c r="F58" s="103">
        <f>E58*Steuerung!$C$9</f>
        <v>0.86296740935170702</v>
      </c>
      <c r="G58" s="103">
        <f t="shared" si="2"/>
        <v>6.9037392748136561</v>
      </c>
      <c r="H58" s="118">
        <f>Steuerung!$I$2</f>
        <v>0.14322087842138764</v>
      </c>
      <c r="I58" s="103">
        <f t="shared" si="3"/>
        <v>-23.870146403564611</v>
      </c>
      <c r="J58" s="117">
        <f t="shared" si="4"/>
        <v>25.731869979780424</v>
      </c>
      <c r="K58" s="103">
        <f t="shared" si="10"/>
        <v>3.1708221366894929</v>
      </c>
      <c r="L58" s="103">
        <f t="shared" si="5"/>
        <v>316.071456367682</v>
      </c>
      <c r="M58" s="103">
        <f t="shared" si="6"/>
        <v>50.297812916563018</v>
      </c>
      <c r="N58" s="118">
        <f>J58/Steuerung!$D$4</f>
        <v>1.0721612491575176</v>
      </c>
      <c r="O58" s="103">
        <f>K58/Steuerung!$D$2</f>
        <v>1.0569407122298309</v>
      </c>
      <c r="P58" s="57">
        <f>60*M58/Steuerung!$D$1</f>
        <v>1.0059562583312605</v>
      </c>
      <c r="Q58" s="103">
        <f t="shared" si="7"/>
        <v>5.1956943283582753</v>
      </c>
      <c r="R58" s="57">
        <f t="shared" si="8"/>
        <v>-4.2456738685547055</v>
      </c>
      <c r="S58" s="57">
        <f t="shared" si="9"/>
        <v>9.4413681969129808</v>
      </c>
    </row>
    <row r="59" spans="1:19">
      <c r="A59" s="64">
        <v>43</v>
      </c>
      <c r="B59" s="64">
        <v>24</v>
      </c>
      <c r="C59" s="103">
        <f>B59*Steuerung!$D$1/(Steuerung!$D$4*60)</f>
        <v>50</v>
      </c>
      <c r="D59" s="103">
        <f t="shared" si="1"/>
        <v>-0.41855494740165966</v>
      </c>
      <c r="E59" s="103">
        <f t="shared" si="0"/>
        <v>85.878185987769044</v>
      </c>
      <c r="F59" s="103">
        <f>E59*Steuerung!$C$9</f>
        <v>0.8587818598776904</v>
      </c>
      <c r="G59" s="103">
        <f t="shared" si="2"/>
        <v>6.8702548790215232</v>
      </c>
      <c r="H59" s="118">
        <f>Steuerung!$I$2</f>
        <v>0.14322087842138764</v>
      </c>
      <c r="I59" s="103">
        <f t="shared" si="3"/>
        <v>-23.870146403564611</v>
      </c>
      <c r="J59" s="117">
        <f t="shared" si="4"/>
        <v>25.543664361479536</v>
      </c>
      <c r="K59" s="103">
        <f t="shared" si="10"/>
        <v>3.0953588104105698</v>
      </c>
      <c r="L59" s="103">
        <f t="shared" si="5"/>
        <v>316.83019928947203</v>
      </c>
      <c r="M59" s="103">
        <f t="shared" si="6"/>
        <v>50.41855494740166</v>
      </c>
      <c r="N59" s="118">
        <f>J59/Steuerung!$D$4</f>
        <v>1.0643193483949807</v>
      </c>
      <c r="O59" s="103">
        <f>K59/Steuerung!$D$2</f>
        <v>1.0317862701368565</v>
      </c>
      <c r="P59" s="57">
        <f>60*M59/Steuerung!$D$1</f>
        <v>1.0083710989480332</v>
      </c>
      <c r="Q59" s="103">
        <f t="shared" si="7"/>
        <v>5.3600749133341195</v>
      </c>
      <c r="R59" s="57">
        <f t="shared" si="8"/>
        <v>-4.1220687776963407</v>
      </c>
      <c r="S59" s="57">
        <f t="shared" si="9"/>
        <v>9.4821436910304602</v>
      </c>
    </row>
    <row r="60" spans="1:19">
      <c r="A60" s="64">
        <v>44</v>
      </c>
      <c r="B60" s="64">
        <v>24</v>
      </c>
      <c r="C60" s="103">
        <f>B60*Steuerung!$D$1/(Steuerung!$D$4*60)</f>
        <v>50</v>
      </c>
      <c r="D60" s="103">
        <f t="shared" si="1"/>
        <v>-0.46720943707112639</v>
      </c>
      <c r="E60" s="103">
        <f t="shared" si="0"/>
        <v>85.41097655069791</v>
      </c>
      <c r="F60" s="103">
        <f>E60*Steuerung!$C$9</f>
        <v>0.85410976550697915</v>
      </c>
      <c r="G60" s="103">
        <f t="shared" si="2"/>
        <v>6.8328781240558332</v>
      </c>
      <c r="H60" s="118">
        <f>Steuerung!$I$2</f>
        <v>0.14322087842138764</v>
      </c>
      <c r="I60" s="103">
        <f t="shared" si="3"/>
        <v>-23.870146403564611</v>
      </c>
      <c r="J60" s="117">
        <f t="shared" si="4"/>
        <v>25.389315353871105</v>
      </c>
      <c r="K60" s="103">
        <f t="shared" si="10"/>
        <v>3.0384260081082588</v>
      </c>
      <c r="L60" s="103">
        <f t="shared" si="5"/>
        <v>317.13594410255496</v>
      </c>
      <c r="M60" s="103">
        <f t="shared" si="6"/>
        <v>50.467209437071126</v>
      </c>
      <c r="N60" s="118">
        <f>J60/Steuerung!$D$4</f>
        <v>1.0578881397446294</v>
      </c>
      <c r="O60" s="103">
        <f>K60/Steuerung!$D$2</f>
        <v>1.0128086693694196</v>
      </c>
      <c r="P60" s="57">
        <f>60*M60/Steuerung!$D$1</f>
        <v>1.0093441887414225</v>
      </c>
      <c r="Q60" s="103">
        <f t="shared" si="7"/>
        <v>5.4809395251504194</v>
      </c>
      <c r="R60" s="57">
        <f t="shared" si="8"/>
        <v>-4.0239664535337409</v>
      </c>
      <c r="S60" s="57">
        <f t="shared" si="9"/>
        <v>9.5049059786841603</v>
      </c>
    </row>
    <row r="61" spans="1:19">
      <c r="A61" s="64">
        <v>45</v>
      </c>
      <c r="B61" s="64">
        <v>24</v>
      </c>
      <c r="C61" s="103">
        <f>B61*Steuerung!$D$1/(Steuerung!$D$4*60)</f>
        <v>50</v>
      </c>
      <c r="D61" s="103">
        <f t="shared" si="1"/>
        <v>-0.4646135028262961</v>
      </c>
      <c r="E61" s="103">
        <f t="shared" si="0"/>
        <v>84.946363047871614</v>
      </c>
      <c r="F61" s="103">
        <f>E61*Steuerung!$C$9</f>
        <v>0.8494636304787162</v>
      </c>
      <c r="G61" s="103">
        <f t="shared" si="2"/>
        <v>6.7957090438297296</v>
      </c>
      <c r="H61" s="118">
        <f>Steuerung!$I$2</f>
        <v>0.14322087842138764</v>
      </c>
      <c r="I61" s="103">
        <f t="shared" si="3"/>
        <v>-23.870146403564611</v>
      </c>
      <c r="J61" s="117">
        <f t="shared" si="4"/>
        <v>25.268753611519919</v>
      </c>
      <c r="K61" s="103">
        <f t="shared" si="10"/>
        <v>2.9979498009121404</v>
      </c>
      <c r="L61" s="103">
        <f t="shared" si="5"/>
        <v>317.11963125176044</v>
      </c>
      <c r="M61" s="103">
        <f t="shared" si="6"/>
        <v>50.464613502826296</v>
      </c>
      <c r="N61" s="118">
        <f>J61/Steuerung!$D$4</f>
        <v>1.0528647338133299</v>
      </c>
      <c r="O61" s="103">
        <f>K61/Steuerung!$D$2</f>
        <v>0.99931660030404679</v>
      </c>
      <c r="P61" s="57">
        <f>60*M61/Steuerung!$D$1</f>
        <v>1.0092922700565259</v>
      </c>
      <c r="Q61" s="103">
        <f t="shared" si="7"/>
        <v>5.5641245125359111</v>
      </c>
      <c r="R61" s="57">
        <f t="shared" si="8"/>
        <v>-3.9499538105407366</v>
      </c>
      <c r="S61" s="57">
        <f t="shared" si="9"/>
        <v>9.5140783230766477</v>
      </c>
    </row>
    <row r="62" spans="1:19">
      <c r="A62" s="64">
        <v>46</v>
      </c>
      <c r="B62" s="64">
        <v>24</v>
      </c>
      <c r="C62" s="103">
        <f>B62*Steuerung!$D$1/(Steuerung!$D$4*60)</f>
        <v>50</v>
      </c>
      <c r="D62" s="103">
        <f t="shared" si="1"/>
        <v>-0.42833575924608169</v>
      </c>
      <c r="E62" s="103">
        <f t="shared" si="0"/>
        <v>84.518027288625532</v>
      </c>
      <c r="F62" s="103">
        <f>E62*Steuerung!$C$9</f>
        <v>0.8451802728862553</v>
      </c>
      <c r="G62" s="103">
        <f t="shared" si="2"/>
        <v>6.7614421830900424</v>
      </c>
      <c r="H62" s="118">
        <f>Steuerung!$I$2</f>
        <v>0.14322087842138764</v>
      </c>
      <c r="I62" s="103">
        <f t="shared" si="3"/>
        <v>-23.870146403564611</v>
      </c>
      <c r="J62" s="117">
        <f t="shared" si="4"/>
        <v>25.179454847462701</v>
      </c>
      <c r="K62" s="103">
        <f t="shared" si="10"/>
        <v>2.9713488132660881</v>
      </c>
      <c r="L62" s="103">
        <f t="shared" si="5"/>
        <v>316.89166191110235</v>
      </c>
      <c r="M62" s="103">
        <f t="shared" si="6"/>
        <v>50.428335759246082</v>
      </c>
      <c r="N62" s="118">
        <f>J62/Steuerung!$D$4</f>
        <v>1.0491439519776125</v>
      </c>
      <c r="O62" s="103">
        <f>K62/Steuerung!$D$2</f>
        <v>0.99044960442202934</v>
      </c>
      <c r="P62" s="57">
        <f>60*M62/Steuerung!$D$1</f>
        <v>1.0085667151849216</v>
      </c>
      <c r="Q62" s="103">
        <f t="shared" si="7"/>
        <v>5.6162541963670307</v>
      </c>
      <c r="R62" s="57">
        <f t="shared" si="8"/>
        <v>-3.8973347411857824</v>
      </c>
      <c r="S62" s="57">
        <f t="shared" si="9"/>
        <v>9.5135889375528127</v>
      </c>
    </row>
    <row r="63" spans="1:19">
      <c r="A63" s="64">
        <v>47</v>
      </c>
      <c r="B63" s="64">
        <v>24</v>
      </c>
      <c r="C63" s="103">
        <f>B63*Steuerung!$D$1/(Steuerung!$D$4*60)</f>
        <v>50</v>
      </c>
      <c r="D63" s="103">
        <f t="shared" si="1"/>
        <v>-0.37248740645967615</v>
      </c>
      <c r="E63" s="103">
        <f t="shared" si="0"/>
        <v>84.145539882165849</v>
      </c>
      <c r="F63" s="103">
        <f>E63*Steuerung!$C$9</f>
        <v>0.84145539882165854</v>
      </c>
      <c r="G63" s="103">
        <f t="shared" si="2"/>
        <v>6.7316431905732683</v>
      </c>
      <c r="H63" s="118">
        <f>Steuerung!$I$2</f>
        <v>0.14322087842138764</v>
      </c>
      <c r="I63" s="103">
        <f t="shared" si="3"/>
        <v>-23.870146403564611</v>
      </c>
      <c r="J63" s="117">
        <f t="shared" si="4"/>
        <v>25.117445783002889</v>
      </c>
      <c r="K63" s="103">
        <f t="shared" si="10"/>
        <v>2.9558924721730242</v>
      </c>
      <c r="L63" s="103">
        <f t="shared" si="5"/>
        <v>316.54071086219261</v>
      </c>
      <c r="M63" s="103">
        <f t="shared" si="6"/>
        <v>50.372487406459676</v>
      </c>
      <c r="N63" s="118">
        <f>J63/Steuerung!$D$4</f>
        <v>1.0465602409584538</v>
      </c>
      <c r="O63" s="103">
        <f>K63/Steuerung!$D$2</f>
        <v>0.98529749072434136</v>
      </c>
      <c r="P63" s="57">
        <f>60*M63/Steuerung!$D$1</f>
        <v>1.0074497481291935</v>
      </c>
      <c r="Q63" s="103">
        <f t="shared" si="7"/>
        <v>5.643996400087155</v>
      </c>
      <c r="R63" s="57">
        <f t="shared" si="8"/>
        <v>-3.8627534572459146</v>
      </c>
      <c r="S63" s="57">
        <f t="shared" si="9"/>
        <v>9.5067498573330695</v>
      </c>
    </row>
    <row r="64" spans="1:19">
      <c r="A64" s="64">
        <v>48</v>
      </c>
      <c r="B64" s="64">
        <v>24</v>
      </c>
      <c r="C64" s="103">
        <f>B64*Steuerung!$D$1/(Steuerung!$D$4*60)</f>
        <v>50</v>
      </c>
      <c r="D64" s="103">
        <f t="shared" si="1"/>
        <v>-0.30785003428176339</v>
      </c>
      <c r="E64" s="103">
        <f t="shared" si="0"/>
        <v>83.837689847884093</v>
      </c>
      <c r="F64" s="103">
        <f>E64*Steuerung!$C$9</f>
        <v>0.83837689847884089</v>
      </c>
      <c r="G64" s="103">
        <f t="shared" si="2"/>
        <v>6.7070151878307271</v>
      </c>
      <c r="H64" s="118">
        <f>Steuerung!$I$2</f>
        <v>0.14322087842138764</v>
      </c>
      <c r="I64" s="103">
        <f t="shared" si="3"/>
        <v>-23.870146403564611</v>
      </c>
      <c r="J64" s="117">
        <f t="shared" si="4"/>
        <v>25.078082078532422</v>
      </c>
      <c r="K64" s="103">
        <f t="shared" si="10"/>
        <v>2.9489511409064435</v>
      </c>
      <c r="L64" s="103">
        <f t="shared" si="5"/>
        <v>316.13452961542657</v>
      </c>
      <c r="M64" s="103">
        <f t="shared" si="6"/>
        <v>50.307850034281763</v>
      </c>
      <c r="N64" s="118">
        <f>J64/Steuerung!$D$4</f>
        <v>1.0449200866055175</v>
      </c>
      <c r="O64" s="103">
        <f>K64/Steuerung!$D$2</f>
        <v>0.9829837136354812</v>
      </c>
      <c r="P64" s="57">
        <f>60*M64/Steuerung!$D$1</f>
        <v>1.0061570006856353</v>
      </c>
      <c r="Q64" s="103">
        <f t="shared" si="7"/>
        <v>5.6535611120408458</v>
      </c>
      <c r="R64" s="57">
        <f t="shared" si="8"/>
        <v>-3.8426602138249315</v>
      </c>
      <c r="S64" s="57">
        <f t="shared" si="9"/>
        <v>9.4962213258657773</v>
      </c>
    </row>
    <row r="65" spans="1:19">
      <c r="A65" s="64">
        <v>49</v>
      </c>
      <c r="B65" s="64">
        <v>24</v>
      </c>
      <c r="C65" s="103">
        <f>B65*Steuerung!$D$1/(Steuerung!$D$4*60)</f>
        <v>50</v>
      </c>
      <c r="D65" s="103">
        <f t="shared" si="1"/>
        <v>-0.24220504982980628</v>
      </c>
      <c r="E65" s="103">
        <f t="shared" si="0"/>
        <v>83.595484798054287</v>
      </c>
      <c r="F65" s="103">
        <f>E65*Steuerung!$C$9</f>
        <v>0.83595484798054287</v>
      </c>
      <c r="G65" s="103">
        <f t="shared" si="2"/>
        <v>6.687638783844343</v>
      </c>
      <c r="H65" s="118">
        <f>Steuerung!$I$2</f>
        <v>0.14322087842138764</v>
      </c>
      <c r="I65" s="103">
        <f t="shared" si="3"/>
        <v>-23.870146403564611</v>
      </c>
      <c r="J65" s="117">
        <f t="shared" si="4"/>
        <v>25.056615782546306</v>
      </c>
      <c r="K65" s="103">
        <f t="shared" si="10"/>
        <v>2.9481553558170286</v>
      </c>
      <c r="L65" s="103">
        <f t="shared" si="5"/>
        <v>315.7220165331305</v>
      </c>
      <c r="M65" s="103">
        <f t="shared" si="6"/>
        <v>50.242205049829806</v>
      </c>
      <c r="N65" s="118">
        <f>J65/Steuerung!$D$4</f>
        <v>1.044025657606096</v>
      </c>
      <c r="O65" s="103">
        <f>K65/Steuerung!$D$2</f>
        <v>0.98271845193900953</v>
      </c>
      <c r="P65" s="57">
        <f>60*M65/Steuerung!$D$1</f>
        <v>1.004844100996596</v>
      </c>
      <c r="Q65" s="103">
        <f t="shared" si="7"/>
        <v>5.6503994052844204</v>
      </c>
      <c r="R65" s="57">
        <f t="shared" si="8"/>
        <v>-3.8336364831783767</v>
      </c>
      <c r="S65" s="57">
        <f t="shared" si="9"/>
        <v>9.4840358884627971</v>
      </c>
    </row>
    <row r="66" spans="1:19">
      <c r="A66" s="64">
        <v>50</v>
      </c>
      <c r="B66" s="64">
        <v>24</v>
      </c>
      <c r="C66" s="103">
        <f>B66*Steuerung!$D$1/(Steuerung!$D$4*60)</f>
        <v>50</v>
      </c>
      <c r="D66" s="103">
        <f t="shared" si="1"/>
        <v>-0.18077299654022028</v>
      </c>
      <c r="E66" s="103">
        <f t="shared" si="0"/>
        <v>83.414711801514073</v>
      </c>
      <c r="F66" s="103">
        <f>E66*Steuerung!$C$9</f>
        <v>0.83414711801514074</v>
      </c>
      <c r="G66" s="103">
        <f t="shared" si="2"/>
        <v>6.6731769441211259</v>
      </c>
      <c r="H66" s="118">
        <f>Steuerung!$I$2</f>
        <v>0.14322087842138764</v>
      </c>
      <c r="I66" s="103">
        <f t="shared" si="3"/>
        <v>-23.870146403564611</v>
      </c>
      <c r="J66" s="117">
        <f t="shared" si="4"/>
        <v>25.048580250412563</v>
      </c>
      <c r="K66" s="103">
        <f t="shared" si="10"/>
        <v>2.9514826156054768</v>
      </c>
      <c r="L66" s="103">
        <f t="shared" si="5"/>
        <v>315.33597751025872</v>
      </c>
      <c r="M66" s="103">
        <f t="shared" si="6"/>
        <v>50.18077299654022</v>
      </c>
      <c r="N66" s="118">
        <f>J66/Steuerung!$D$4</f>
        <v>1.0436908437671901</v>
      </c>
      <c r="O66" s="103">
        <f>K66/Steuerung!$D$2</f>
        <v>0.98382753853515892</v>
      </c>
      <c r="P66" s="57">
        <f>60*M66/Steuerung!$D$1</f>
        <v>1.0036154599308045</v>
      </c>
      <c r="Q66" s="103">
        <f t="shared" si="7"/>
        <v>5.6390585334317773</v>
      </c>
      <c r="R66" s="57">
        <f t="shared" si="8"/>
        <v>-3.8326019625621375</v>
      </c>
      <c r="S66" s="57">
        <f t="shared" si="9"/>
        <v>9.4716604959939144</v>
      </c>
    </row>
    <row r="67" spans="1:19">
      <c r="A67" s="64">
        <v>51</v>
      </c>
      <c r="B67" s="64">
        <v>24</v>
      </c>
      <c r="C67" s="103">
        <f>B67*Steuerung!$D$1/(Steuerung!$D$4*60)</f>
        <v>50</v>
      </c>
      <c r="D67" s="103">
        <f t="shared" si="1"/>
        <v>-0.1266935376264513</v>
      </c>
      <c r="E67" s="103">
        <f t="shared" si="0"/>
        <v>83.288018263887622</v>
      </c>
      <c r="F67" s="103">
        <f>E67*Steuerung!$C$9</f>
        <v>0.8328801826388762</v>
      </c>
      <c r="G67" s="103">
        <f t="shared" si="2"/>
        <v>6.6630414611110096</v>
      </c>
      <c r="H67" s="118">
        <f>Steuerung!$I$2</f>
        <v>0.14322087842138764</v>
      </c>
      <c r="I67" s="103">
        <f t="shared" si="3"/>
        <v>-23.870146403564611</v>
      </c>
      <c r="J67" s="117">
        <f t="shared" si="4"/>
        <v>25.050025019100481</v>
      </c>
      <c r="K67" s="103">
        <f t="shared" si="10"/>
        <v>2.9572894970057653</v>
      </c>
      <c r="L67" s="103">
        <f t="shared" si="5"/>
        <v>314.99614219044463</v>
      </c>
      <c r="M67" s="103">
        <f t="shared" si="6"/>
        <v>50.126693537626451</v>
      </c>
      <c r="N67" s="118">
        <f>J67/Steuerung!$D$4</f>
        <v>1.04375104246252</v>
      </c>
      <c r="O67" s="103">
        <f>K67/Steuerung!$D$2</f>
        <v>0.98576316566858846</v>
      </c>
      <c r="P67" s="57">
        <f>60*M67/Steuerung!$D$1</f>
        <v>1.0025338707525291</v>
      </c>
      <c r="Q67" s="103">
        <f t="shared" si="7"/>
        <v>5.6231519250206414</v>
      </c>
      <c r="R67" s="57">
        <f t="shared" si="8"/>
        <v>-3.8369274002871201</v>
      </c>
      <c r="S67" s="57">
        <f t="shared" si="9"/>
        <v>9.4600793253077615</v>
      </c>
    </row>
    <row r="68" spans="1:19">
      <c r="A68" s="64">
        <v>52</v>
      </c>
      <c r="B68" s="64">
        <v>24</v>
      </c>
      <c r="C68" s="103">
        <f>B68*Steuerung!$D$1/(Steuerung!$D$4*60)</f>
        <v>50</v>
      </c>
      <c r="D68" s="103">
        <f t="shared" si="1"/>
        <v>-8.1497052835374006E-2</v>
      </c>
      <c r="E68" s="103">
        <f t="shared" si="0"/>
        <v>83.206521211052248</v>
      </c>
      <c r="F68" s="103">
        <f>E68*Steuerung!$C$9</f>
        <v>0.83206521211052253</v>
      </c>
      <c r="G68" s="103">
        <f t="shared" si="2"/>
        <v>6.6565216968841803</v>
      </c>
      <c r="H68" s="118">
        <f>Steuerung!$I$2</f>
        <v>0.14322087842138764</v>
      </c>
      <c r="I68" s="103">
        <f t="shared" si="3"/>
        <v>-23.870146403564611</v>
      </c>
      <c r="J68" s="117">
        <f t="shared" si="4"/>
        <v>25.057633541505165</v>
      </c>
      <c r="K68" s="103">
        <f t="shared" si="10"/>
        <v>2.9643050311935193</v>
      </c>
      <c r="L68" s="103">
        <f t="shared" si="5"/>
        <v>314.7121274800175</v>
      </c>
      <c r="M68" s="103">
        <f t="shared" si="6"/>
        <v>50.081497052835374</v>
      </c>
      <c r="N68" s="118">
        <f>J68/Steuerung!$D$4</f>
        <v>1.0440680642293818</v>
      </c>
      <c r="O68" s="103">
        <f>K68/Steuerung!$D$2</f>
        <v>0.98810167706450647</v>
      </c>
      <c r="P68" s="57">
        <f>60*M68/Steuerung!$D$1</f>
        <v>1.0016299410567076</v>
      </c>
      <c r="Q68" s="103">
        <f t="shared" si="7"/>
        <v>5.6054079196058435</v>
      </c>
      <c r="R68" s="57">
        <f t="shared" si="8"/>
        <v>-3.8444763461074949</v>
      </c>
      <c r="S68" s="57">
        <f t="shared" si="9"/>
        <v>9.4498842657133384</v>
      </c>
    </row>
    <row r="69" spans="1:19">
      <c r="A69" s="64">
        <v>53</v>
      </c>
      <c r="B69" s="64">
        <v>24</v>
      </c>
      <c r="C69" s="103">
        <f>B69*Steuerung!$D$1/(Steuerung!$D$4*60)</f>
        <v>50</v>
      </c>
      <c r="D69" s="103">
        <f t="shared" si="1"/>
        <v>-4.5535877552460136E-2</v>
      </c>
      <c r="E69" s="103">
        <f t="shared" si="0"/>
        <v>83.160985333499781</v>
      </c>
      <c r="F69" s="103">
        <f>E69*Steuerung!$C$9</f>
        <v>0.83160985333499782</v>
      </c>
      <c r="G69" s="103">
        <f t="shared" si="2"/>
        <v>6.6528788266799825</v>
      </c>
      <c r="H69" s="118">
        <f>Steuerung!$I$2</f>
        <v>0.14322087842138764</v>
      </c>
      <c r="I69" s="103">
        <f t="shared" si="3"/>
        <v>-23.870146403564611</v>
      </c>
      <c r="J69" s="117">
        <f t="shared" si="4"/>
        <v>25.068754413035233</v>
      </c>
      <c r="K69" s="103">
        <f t="shared" si="10"/>
        <v>2.9715988303979448</v>
      </c>
      <c r="L69" s="103">
        <f t="shared" si="5"/>
        <v>314.48614745453966</v>
      </c>
      <c r="M69" s="103">
        <f t="shared" si="6"/>
        <v>50.04553587755246</v>
      </c>
      <c r="N69" s="118">
        <f>J69/Steuerung!$D$4</f>
        <v>1.044531433876468</v>
      </c>
      <c r="O69" s="103">
        <f>K69/Steuerung!$D$2</f>
        <v>0.99053294346598164</v>
      </c>
      <c r="P69" s="57">
        <f>60*M69/Steuerung!$D$1</f>
        <v>1.0009107175510492</v>
      </c>
      <c r="Q69" s="103">
        <f t="shared" si="7"/>
        <v>5.5877672838489492</v>
      </c>
      <c r="R69" s="57">
        <f t="shared" si="8"/>
        <v>-3.8535965405515751</v>
      </c>
      <c r="S69" s="57">
        <f t="shared" si="9"/>
        <v>9.4413638244005238</v>
      </c>
    </row>
    <row r="70" spans="1:19">
      <c r="A70" s="64">
        <v>54</v>
      </c>
      <c r="B70" s="64">
        <v>24</v>
      </c>
      <c r="C70" s="103">
        <f>B70*Steuerung!$D$1/(Steuerung!$D$4*60)</f>
        <v>50</v>
      </c>
      <c r="D70" s="103">
        <f t="shared" si="1"/>
        <v>-1.8356942657604236E-2</v>
      </c>
      <c r="E70" s="103">
        <f t="shared" si="0"/>
        <v>83.142628390842177</v>
      </c>
      <c r="F70" s="103">
        <f>E70*Steuerung!$C$9</f>
        <v>0.83142628390842177</v>
      </c>
      <c r="G70" s="103">
        <f t="shared" si="2"/>
        <v>6.6514102712673742</v>
      </c>
      <c r="H70" s="118">
        <f>Steuerung!$I$2</f>
        <v>0.14322087842138764</v>
      </c>
      <c r="I70" s="103">
        <f t="shared" si="3"/>
        <v>-23.870146403564611</v>
      </c>
      <c r="J70" s="117">
        <f t="shared" si="4"/>
        <v>25.081372882561119</v>
      </c>
      <c r="K70" s="103">
        <f t="shared" si="10"/>
        <v>2.9785348077898099</v>
      </c>
      <c r="L70" s="103">
        <f t="shared" si="5"/>
        <v>314.31535502766036</v>
      </c>
      <c r="M70" s="103">
        <f t="shared" si="6"/>
        <v>50.018356942657604</v>
      </c>
      <c r="N70" s="118">
        <f>J70/Steuerung!$D$4</f>
        <v>1.0450572034400467</v>
      </c>
      <c r="O70" s="103">
        <f>K70/Steuerung!$D$2</f>
        <v>0.99284493592993661</v>
      </c>
      <c r="P70" s="57">
        <f>60*M70/Steuerung!$D$1</f>
        <v>1.0003671388531521</v>
      </c>
      <c r="Q70" s="103">
        <f t="shared" si="7"/>
        <v>5.5715059441188615</v>
      </c>
      <c r="R70" s="57">
        <f t="shared" si="8"/>
        <v>-3.8630784795173283</v>
      </c>
      <c r="S70" s="57">
        <f t="shared" si="9"/>
        <v>9.4345844236361902</v>
      </c>
    </row>
    <row r="71" spans="1:19">
      <c r="A71" s="64">
        <v>55</v>
      </c>
      <c r="B71" s="64">
        <v>24</v>
      </c>
      <c r="C71" s="103">
        <f>B71*Steuerung!$D$1/(Steuerung!$D$4*60)</f>
        <v>50</v>
      </c>
      <c r="D71" s="103">
        <f t="shared" si="1"/>
        <v>9.9195466159329726E-4</v>
      </c>
      <c r="E71" s="103">
        <f t="shared" si="0"/>
        <v>83.143620345503763</v>
      </c>
      <c r="F71" s="103">
        <f>E71*Steuerung!$C$9</f>
        <v>0.83143620345503766</v>
      </c>
      <c r="G71" s="103">
        <f t="shared" si="2"/>
        <v>6.6514896276403013</v>
      </c>
      <c r="H71" s="118">
        <f>Steuerung!$I$2</f>
        <v>0.14322087842138764</v>
      </c>
      <c r="I71" s="103">
        <f t="shared" si="3"/>
        <v>-23.870146403564611</v>
      </c>
      <c r="J71" s="117">
        <f t="shared" si="4"/>
        <v>25.094044870564318</v>
      </c>
      <c r="K71" s="103">
        <f t="shared" si="10"/>
        <v>2.9847187609956629</v>
      </c>
      <c r="L71" s="103">
        <f t="shared" si="5"/>
        <v>314.19376655690655</v>
      </c>
      <c r="M71" s="103">
        <f t="shared" si="6"/>
        <v>49.999008045338407</v>
      </c>
      <c r="N71" s="118">
        <f>J71/Steuerung!$D$4</f>
        <v>1.04558520294018</v>
      </c>
      <c r="O71" s="103">
        <f>K71/Steuerung!$D$2</f>
        <v>0.99490625366522101</v>
      </c>
      <c r="P71" s="57">
        <f>60*M71/Steuerung!$D$1</f>
        <v>0.99998016090676811</v>
      </c>
      <c r="Q71" s="103">
        <f t="shared" si="7"/>
        <v>5.5573654007030573</v>
      </c>
      <c r="R71" s="57">
        <f t="shared" si="8"/>
        <v>-3.8720952501267529</v>
      </c>
      <c r="S71" s="57">
        <f t="shared" si="9"/>
        <v>9.4294606508298102</v>
      </c>
    </row>
    <row r="72" spans="1:19">
      <c r="A72" s="64">
        <v>56</v>
      </c>
      <c r="B72" s="64">
        <v>24</v>
      </c>
      <c r="C72" s="103">
        <f>B72*Steuerung!$D$1/(Steuerung!$D$4*60)</f>
        <v>50</v>
      </c>
      <c r="D72" s="103">
        <f t="shared" si="1"/>
        <v>1.3722492920493323E-2</v>
      </c>
      <c r="E72" s="103">
        <f t="shared" si="0"/>
        <v>83.157342838424256</v>
      </c>
      <c r="F72" s="103">
        <f>E72*Steuerung!$C$9</f>
        <v>0.83157342838424253</v>
      </c>
      <c r="G72" s="103">
        <f t="shared" si="2"/>
        <v>6.6525874270739402</v>
      </c>
      <c r="H72" s="118">
        <f>Steuerung!$I$2</f>
        <v>0.14322087842138764</v>
      </c>
      <c r="I72" s="103">
        <f t="shared" si="3"/>
        <v>-23.870146403564611</v>
      </c>
      <c r="J72" s="117">
        <f t="shared" si="4"/>
        <v>25.10581102022747</v>
      </c>
      <c r="K72" s="103">
        <f t="shared" si="10"/>
        <v>2.9899457630799882</v>
      </c>
      <c r="L72" s="103">
        <f t="shared" si="5"/>
        <v>314.11376785448761</v>
      </c>
      <c r="M72" s="103">
        <f t="shared" si="6"/>
        <v>49.986277507079507</v>
      </c>
      <c r="N72" s="118">
        <f>J72/Steuerung!$D$4</f>
        <v>1.0460754591761445</v>
      </c>
      <c r="O72" s="103">
        <f>K72/Steuerung!$D$2</f>
        <v>0.99664858769332942</v>
      </c>
      <c r="P72" s="57">
        <f>60*M72/Steuerung!$D$1</f>
        <v>0.99972555014159015</v>
      </c>
      <c r="Q72" s="103">
        <f t="shared" si="7"/>
        <v>5.5456786074128335</v>
      </c>
      <c r="R72" s="57">
        <f t="shared" si="8"/>
        <v>-3.8801343892943621</v>
      </c>
      <c r="S72" s="57">
        <f t="shared" si="9"/>
        <v>9.4258129967071955</v>
      </c>
    </row>
    <row r="73" spans="1:19">
      <c r="A73" s="64">
        <v>57</v>
      </c>
      <c r="B73" s="64">
        <v>24</v>
      </c>
      <c r="C73" s="103">
        <f>B73*Steuerung!$D$1/(Steuerung!$D$4*60)</f>
        <v>50</v>
      </c>
      <c r="D73" s="103">
        <f t="shared" si="1"/>
        <v>2.1128014760670055E-2</v>
      </c>
      <c r="E73" s="103">
        <f t="shared" si="0"/>
        <v>83.178470853184933</v>
      </c>
      <c r="F73" s="103">
        <f>E73*Steuerung!$C$9</f>
        <v>0.83178470853184938</v>
      </c>
      <c r="G73" s="103">
        <f t="shared" si="2"/>
        <v>6.6542776682547951</v>
      </c>
      <c r="H73" s="118">
        <f>Steuerung!$I$2</f>
        <v>0.14322087842138764</v>
      </c>
      <c r="I73" s="103">
        <f t="shared" si="3"/>
        <v>-23.870146403564611</v>
      </c>
      <c r="J73" s="117">
        <f t="shared" si="4"/>
        <v>25.116103883443294</v>
      </c>
      <c r="K73" s="103">
        <f t="shared" si="10"/>
        <v>2.9941513179110557</v>
      </c>
      <c r="L73" s="103">
        <f t="shared" si="5"/>
        <v>314.06723155524395</v>
      </c>
      <c r="M73" s="103">
        <f t="shared" si="6"/>
        <v>49.97887198523933</v>
      </c>
      <c r="N73" s="118">
        <f>J73/Steuerung!$D$4</f>
        <v>1.0465043284768039</v>
      </c>
      <c r="O73" s="103">
        <f>K73/Steuerung!$D$2</f>
        <v>0.9980504393036852</v>
      </c>
      <c r="P73" s="57">
        <f>60*M73/Steuerung!$D$1</f>
        <v>0.99957743970478652</v>
      </c>
      <c r="Q73" s="103">
        <f t="shared" si="7"/>
        <v>5.5364835436306432</v>
      </c>
      <c r="R73" s="57">
        <f t="shared" si="8"/>
        <v>-3.8869294920039845</v>
      </c>
      <c r="S73" s="57">
        <f t="shared" si="9"/>
        <v>9.4234130356346277</v>
      </c>
    </row>
    <row r="74" spans="1:19">
      <c r="A74" s="64">
        <v>58</v>
      </c>
      <c r="B74" s="64">
        <v>24</v>
      </c>
      <c r="C74" s="103">
        <f>B74*Steuerung!$D$1/(Steuerung!$D$4*60)</f>
        <v>50</v>
      </c>
      <c r="D74" s="103">
        <f t="shared" si="1"/>
        <v>2.4459826659786188E-2</v>
      </c>
      <c r="E74" s="103">
        <f t="shared" si="0"/>
        <v>83.202930679844712</v>
      </c>
      <c r="F74" s="103">
        <f>E74*Steuerung!$C$9</f>
        <v>0.83202930679844711</v>
      </c>
      <c r="G74" s="103">
        <f t="shared" si="2"/>
        <v>6.6562344543875769</v>
      </c>
      <c r="H74" s="118">
        <f>Steuerung!$I$2</f>
        <v>0.14322087842138764</v>
      </c>
      <c r="I74" s="103">
        <f t="shared" si="3"/>
        <v>-23.870146403564611</v>
      </c>
      <c r="J74" s="117">
        <f t="shared" si="4"/>
        <v>25.124657434881851</v>
      </c>
      <c r="K74" s="103">
        <f t="shared" si="10"/>
        <v>2.9973686245211839</v>
      </c>
      <c r="L74" s="103">
        <f t="shared" si="5"/>
        <v>314.04629444926991</v>
      </c>
      <c r="M74" s="103">
        <f t="shared" si="6"/>
        <v>49.975540173340214</v>
      </c>
      <c r="N74" s="118">
        <f>J74/Steuerung!$D$4</f>
        <v>1.0468607264534104</v>
      </c>
      <c r="O74" s="103">
        <f>K74/Steuerung!$D$2</f>
        <v>0.99912287484039464</v>
      </c>
      <c r="P74" s="57">
        <f>60*M74/Steuerung!$D$1</f>
        <v>0.99951080346680432</v>
      </c>
      <c r="Q74" s="103">
        <f t="shared" si="7"/>
        <v>5.5296202333729463</v>
      </c>
      <c r="R74" s="57">
        <f t="shared" si="8"/>
        <v>-3.8923967132843726</v>
      </c>
      <c r="S74" s="57">
        <f t="shared" si="9"/>
        <v>9.4220169466573189</v>
      </c>
    </row>
    <row r="75" spans="1:19">
      <c r="A75" s="64">
        <v>59</v>
      </c>
      <c r="B75" s="64">
        <v>24</v>
      </c>
      <c r="C75" s="103">
        <f>B75*Steuerung!$D$1/(Steuerung!$D$4*60)</f>
        <v>50</v>
      </c>
      <c r="D75" s="103">
        <f t="shared" si="1"/>
        <v>2.4848480268047979E-2</v>
      </c>
      <c r="E75" s="103">
        <f t="shared" si="0"/>
        <v>83.22777916011276</v>
      </c>
      <c r="F75" s="103">
        <f>E75*Steuerung!$C$9</f>
        <v>0.83227779160112758</v>
      </c>
      <c r="G75" s="103">
        <f t="shared" si="2"/>
        <v>6.6582223328090206</v>
      </c>
      <c r="H75" s="118">
        <f>Steuerung!$I$2</f>
        <v>0.14322087842138764</v>
      </c>
      <c r="I75" s="103">
        <f t="shared" si="3"/>
        <v>-23.870146403564611</v>
      </c>
      <c r="J75" s="117">
        <f t="shared" si="4"/>
        <v>25.131424832787015</v>
      </c>
      <c r="K75" s="103">
        <f t="shared" si="10"/>
        <v>2.9996930518272031</v>
      </c>
      <c r="L75" s="103">
        <f t="shared" si="5"/>
        <v>314.04385214999559</v>
      </c>
      <c r="M75" s="103">
        <f t="shared" si="6"/>
        <v>49.975151519731952</v>
      </c>
      <c r="N75" s="118">
        <f>J75/Steuerung!$D$4</f>
        <v>1.0471427013661256</v>
      </c>
      <c r="O75" s="103">
        <f>K75/Steuerung!$D$2</f>
        <v>0.99989768394240108</v>
      </c>
      <c r="P75" s="57">
        <f>60*M75/Steuerung!$D$1</f>
        <v>0.99950303039463895</v>
      </c>
      <c r="Q75" s="103">
        <f t="shared" si="7"/>
        <v>5.5248096216005589</v>
      </c>
      <c r="R75" s="57">
        <f t="shared" si="8"/>
        <v>-3.8965792118775391</v>
      </c>
      <c r="S75" s="57">
        <f t="shared" si="9"/>
        <v>9.4213888334780975</v>
      </c>
    </row>
    <row r="76" spans="1:19">
      <c r="A76" s="64">
        <v>60</v>
      </c>
      <c r="B76" s="64">
        <v>0</v>
      </c>
      <c r="C76" s="103">
        <f>B76*Steuerung!$D$1/(Steuerung!$D$4*60)</f>
        <v>0</v>
      </c>
      <c r="D76" s="103">
        <f t="shared" si="1"/>
        <v>-41.244057661423938</v>
      </c>
      <c r="E76" s="103">
        <f t="shared" si="0"/>
        <v>41.983721498688823</v>
      </c>
      <c r="F76" s="103">
        <f>E76*Steuerung!$C$9</f>
        <v>0.41983721498688825</v>
      </c>
      <c r="G76" s="103">
        <f t="shared" si="2"/>
        <v>3.358697719895106</v>
      </c>
      <c r="H76" s="118">
        <f>Steuerung!$I$2</f>
        <v>0.14322087842138764</v>
      </c>
      <c r="I76" s="103">
        <f t="shared" si="3"/>
        <v>-23.870146403564611</v>
      </c>
      <c r="J76" s="117">
        <f t="shared" si="4"/>
        <v>1.1365077356845177</v>
      </c>
      <c r="K76" s="103">
        <f t="shared" si="10"/>
        <v>-3.8955832374887622</v>
      </c>
      <c r="L76" s="103">
        <f t="shared" si="5"/>
        <v>259.17765834438802</v>
      </c>
      <c r="M76" s="103">
        <f t="shared" si="6"/>
        <v>41.244057661423938</v>
      </c>
      <c r="N76" s="118">
        <f>J76/Steuerung!$D$4</f>
        <v>4.7354488986854903E-2</v>
      </c>
      <c r="O76" s="103">
        <f>K76/Steuerung!$D$2</f>
        <v>-1.2985277458295874</v>
      </c>
      <c r="P76" s="57">
        <f>60*M76/Steuerung!$D$1</f>
        <v>0.82488115322847866</v>
      </c>
      <c r="Q76" s="103">
        <f t="shared" si="7"/>
        <v>5.521714597124503</v>
      </c>
      <c r="R76" s="57">
        <f t="shared" si="8"/>
        <v>-3.8996009673753642</v>
      </c>
      <c r="S76" s="57">
        <f t="shared" si="9"/>
        <v>9.4213155644998672</v>
      </c>
    </row>
    <row r="77" spans="1:19">
      <c r="A77" s="64">
        <v>61</v>
      </c>
      <c r="B77" s="64">
        <v>0</v>
      </c>
      <c r="C77" s="103">
        <f>B77*Steuerung!$D$1/(Steuerung!$D$4*60)</f>
        <v>0</v>
      </c>
      <c r="D77" s="103">
        <f t="shared" si="1"/>
        <v>-29.351879508685123</v>
      </c>
      <c r="E77" s="103">
        <f t="shared" si="0"/>
        <v>12.6318419900037</v>
      </c>
      <c r="F77" s="103">
        <f>E77*Steuerung!$C$9</f>
        <v>0.126318419900037</v>
      </c>
      <c r="G77" s="103">
        <f t="shared" si="2"/>
        <v>1.010547359200296</v>
      </c>
      <c r="H77" s="118">
        <f>Steuerung!$I$2</f>
        <v>0.14322087842138764</v>
      </c>
      <c r="I77" s="103">
        <f t="shared" si="3"/>
        <v>-23.870146403564611</v>
      </c>
      <c r="J77" s="117">
        <f t="shared" si="4"/>
        <v>-9.4808902391719254</v>
      </c>
      <c r="K77" s="103">
        <f t="shared" si="10"/>
        <v>-6.3921226432843721</v>
      </c>
      <c r="L77" s="103">
        <f t="shared" si="5"/>
        <v>184.4472108325773</v>
      </c>
      <c r="M77" s="103">
        <f t="shared" si="6"/>
        <v>29.351879508685123</v>
      </c>
      <c r="N77" s="118">
        <f>J77/Steuerung!$D$4</f>
        <v>-0.39503709329883024</v>
      </c>
      <c r="O77" s="103">
        <f>K77/Steuerung!$D$2</f>
        <v>-2.1307075477614572</v>
      </c>
      <c r="P77" s="57">
        <f>60*M77/Steuerung!$D$1</f>
        <v>0.58703759017370249</v>
      </c>
      <c r="Q77" s="103">
        <f t="shared" si="7"/>
        <v>12.839587959067032</v>
      </c>
      <c r="R77" s="57">
        <f t="shared" si="8"/>
        <v>5.0642582087353913</v>
      </c>
      <c r="S77" s="57">
        <f t="shared" si="9"/>
        <v>7.7753297503316405</v>
      </c>
    </row>
    <row r="78" spans="1:19">
      <c r="A78" s="64">
        <v>62</v>
      </c>
      <c r="B78" s="64">
        <v>0</v>
      </c>
      <c r="C78" s="103">
        <f>B78*Steuerung!$D$1/(Steuerung!$D$4*60)</f>
        <v>0</v>
      </c>
      <c r="D78" s="103">
        <f t="shared" si="1"/>
        <v>-17.447425149386646</v>
      </c>
      <c r="E78" s="103">
        <f t="shared" si="0"/>
        <v>-4.8155831593829461</v>
      </c>
      <c r="F78" s="103">
        <f>E78*Steuerung!$C$9</f>
        <v>-4.8155831593829461E-2</v>
      </c>
      <c r="G78" s="103">
        <f t="shared" si="2"/>
        <v>-0.38524665275063569</v>
      </c>
      <c r="H78" s="118">
        <f>Steuerung!$I$2</f>
        <v>0.14322087842138764</v>
      </c>
      <c r="I78" s="103">
        <f t="shared" si="3"/>
        <v>-23.870146403564611</v>
      </c>
      <c r="J78" s="117">
        <f t="shared" si="4"/>
        <v>-12.832628402046705</v>
      </c>
      <c r="K78" s="103">
        <f t="shared" si="10"/>
        <v>-6.4018180612407596</v>
      </c>
      <c r="L78" s="103">
        <f t="shared" si="5"/>
        <v>109.63961963874567</v>
      </c>
      <c r="M78" s="103">
        <f t="shared" si="6"/>
        <v>17.447425149386646</v>
      </c>
      <c r="N78" s="118">
        <f>J78/Steuerung!$D$4</f>
        <v>-0.53469285008527934</v>
      </c>
      <c r="O78" s="103">
        <f>K78/Steuerung!$D$2</f>
        <v>-2.13393935374692</v>
      </c>
      <c r="P78" s="57">
        <f>60*M78/Steuerung!$D$1</f>
        <v>0.34894850298773294</v>
      </c>
      <c r="Q78" s="103">
        <f t="shared" si="7"/>
        <v>13.843175761247002</v>
      </c>
      <c r="R78" s="57">
        <f t="shared" si="8"/>
        <v>8.3097594362696832</v>
      </c>
      <c r="S78" s="57">
        <f t="shared" si="9"/>
        <v>5.5334163249773187</v>
      </c>
    </row>
    <row r="79" spans="1:19">
      <c r="A79" s="64">
        <v>63</v>
      </c>
      <c r="B79" s="64">
        <v>0</v>
      </c>
      <c r="C79" s="103">
        <f>B79*Steuerung!$D$1/(Steuerung!$D$4*60)</f>
        <v>0</v>
      </c>
      <c r="D79" s="103">
        <f t="shared" si="1"/>
        <v>-7.1462170812930106</v>
      </c>
      <c r="E79" s="103">
        <f t="shared" si="0"/>
        <v>-11.961800240675956</v>
      </c>
      <c r="F79" s="103">
        <f>E79*Steuerung!$C$9</f>
        <v>-0.11961800240675956</v>
      </c>
      <c r="G79" s="103">
        <f t="shared" si="2"/>
        <v>-0.95694401925407646</v>
      </c>
      <c r="H79" s="118">
        <f>Steuerung!$I$2</f>
        <v>0.14322087842138764</v>
      </c>
      <c r="I79" s="103">
        <f t="shared" si="3"/>
        <v>-23.870146403564611</v>
      </c>
      <c r="J79" s="117">
        <f t="shared" si="4"/>
        <v>-11.996798721525995</v>
      </c>
      <c r="K79" s="103">
        <f t="shared" si="10"/>
        <v>-5.135617235707481</v>
      </c>
      <c r="L79" s="103">
        <f t="shared" si="5"/>
        <v>44.906828138845277</v>
      </c>
      <c r="M79" s="103">
        <f t="shared" si="6"/>
        <v>7.1462170812930106</v>
      </c>
      <c r="N79" s="118">
        <f>J79/Steuerung!$D$4</f>
        <v>-0.49986661339691646</v>
      </c>
      <c r="O79" s="103">
        <f>K79/Steuerung!$D$2</f>
        <v>-1.7118724119024937</v>
      </c>
      <c r="P79" s="57">
        <f>60*M79/Steuerung!$D$1</f>
        <v>0.14292434162586021</v>
      </c>
      <c r="Q79" s="103">
        <f t="shared" si="7"/>
        <v>11.611552068775358</v>
      </c>
      <c r="R79" s="57">
        <f t="shared" si="8"/>
        <v>8.3223634796129886</v>
      </c>
      <c r="S79" s="57">
        <f t="shared" si="9"/>
        <v>3.2891885891623702</v>
      </c>
    </row>
    <row r="80" spans="1:19">
      <c r="A80" s="64">
        <v>64</v>
      </c>
      <c r="B80" s="64">
        <v>0</v>
      </c>
      <c r="C80" s="103">
        <f>B80*Steuerung!$D$1/(Steuerung!$D$4*60)</f>
        <v>0</v>
      </c>
      <c r="D80" s="103">
        <f t="shared" si="1"/>
        <v>0.8869207241633249</v>
      </c>
      <c r="E80" s="103">
        <f t="shared" si="0"/>
        <v>-11.074879516512631</v>
      </c>
      <c r="F80" s="103">
        <f>E80*Steuerung!$C$9</f>
        <v>-0.11074879516512631</v>
      </c>
      <c r="G80" s="103">
        <f t="shared" si="2"/>
        <v>-0.8859903613210105</v>
      </c>
      <c r="H80" s="118">
        <f>Steuerung!$I$2</f>
        <v>0.14322087842138764</v>
      </c>
      <c r="I80" s="103">
        <f t="shared" si="3"/>
        <v>-23.870146403564611</v>
      </c>
      <c r="J80" s="117">
        <f t="shared" si="4"/>
        <v>-8.9804512698391594</v>
      </c>
      <c r="K80" s="103">
        <f t="shared" si="10"/>
        <v>-3.3443563080052026</v>
      </c>
      <c r="L80" s="103">
        <f t="shared" si="5"/>
        <v>-5.5734098306423334</v>
      </c>
      <c r="M80" s="103">
        <f t="shared" si="6"/>
        <v>-0.8869207241633249</v>
      </c>
      <c r="N80" s="118">
        <f>J80/Steuerung!$D$4</f>
        <v>-0.37418546957663162</v>
      </c>
      <c r="O80" s="103">
        <f>K80/Steuerung!$D$2</f>
        <v>-1.1147854360017342</v>
      </c>
      <c r="P80" s="57">
        <f>60*M80/Steuerung!$D$1</f>
        <v>-1.7738414483266497E-2</v>
      </c>
      <c r="Q80" s="103">
        <f t="shared" si="7"/>
        <v>8.0235072505850837</v>
      </c>
      <c r="R80" s="57">
        <f t="shared" si="8"/>
        <v>6.6763024064197252</v>
      </c>
      <c r="S80" s="57">
        <f t="shared" si="9"/>
        <v>1.3472048441653584</v>
      </c>
    </row>
    <row r="81" spans="1:19">
      <c r="A81" s="64">
        <v>65</v>
      </c>
      <c r="B81" s="64">
        <v>0</v>
      </c>
      <c r="C81" s="103">
        <f>B81*Steuerung!$D$1/(Steuerung!$D$4*60)</f>
        <v>0</v>
      </c>
      <c r="D81" s="103">
        <f t="shared" ref="D81:D115" si="11">C81-M81</f>
        <v>6.5538411180527536</v>
      </c>
      <c r="E81" s="103">
        <f t="shared" ref="E81:E115" si="12">E80+D81</f>
        <v>-4.5210383984598774</v>
      </c>
      <c r="F81" s="103">
        <f>E81*Steuerung!$C$9</f>
        <v>-4.5210383984598777E-2</v>
      </c>
      <c r="G81" s="103">
        <f t="shared" ref="G81:G115" si="13">F81*$B$9</f>
        <v>-0.36168307187679022</v>
      </c>
      <c r="H81" s="118">
        <f>Steuerung!$I$2</f>
        <v>0.14322087842138764</v>
      </c>
      <c r="I81" s="103">
        <f t="shared" ref="I81:I115" si="14">H81*$R$12</f>
        <v>-23.870146403564611</v>
      </c>
      <c r="J81" s="117">
        <f t="shared" ref="J81:J115" si="15">B81-Q81+G80</f>
        <v>-5.0664512668085049</v>
      </c>
      <c r="K81" s="103">
        <f t="shared" si="10"/>
        <v>-1.4755814002736827</v>
      </c>
      <c r="L81" s="103">
        <f t="shared" ref="L81:L115" si="16">$V$6*K81+L80+I81</f>
        <v>-41.184337585843501</v>
      </c>
      <c r="M81" s="103">
        <f t="shared" ref="M81:M115" si="17">L81/$R$6</f>
        <v>-6.5538411180527536</v>
      </c>
      <c r="N81" s="118">
        <f>J81/Steuerung!$D$4</f>
        <v>-0.21110213611702103</v>
      </c>
      <c r="O81" s="103">
        <f>K81/Steuerung!$D$2</f>
        <v>-0.49186046675789424</v>
      </c>
      <c r="P81" s="57">
        <f>60*M81/Steuerung!$D$1</f>
        <v>-0.13107682236105506</v>
      </c>
      <c r="Q81" s="103">
        <f t="shared" ref="Q81:Q115" si="18">R81+S81</f>
        <v>4.1804609054874939</v>
      </c>
      <c r="R81" s="57">
        <f t="shared" ref="R81:R115" si="19">$R$8*K80</f>
        <v>4.3476632004067639</v>
      </c>
      <c r="S81" s="57">
        <f t="shared" ref="S81:S115" si="20">$R$9*L80</f>
        <v>-0.16720229491926999</v>
      </c>
    </row>
    <row r="82" spans="1:19">
      <c r="A82" s="64">
        <v>66</v>
      </c>
      <c r="B82" s="64">
        <v>0</v>
      </c>
      <c r="C82" s="103">
        <f>B82*Steuerung!$D$1/(Steuerung!$D$4*60)</f>
        <v>0</v>
      </c>
      <c r="D82" s="103">
        <f t="shared" si="11"/>
        <v>10.070703924894604</v>
      </c>
      <c r="E82" s="103">
        <f t="shared" si="12"/>
        <v>5.5496655264347261</v>
      </c>
      <c r="F82" s="103">
        <f>E82*Steuerung!$C$9</f>
        <v>5.5496655264347265E-2</v>
      </c>
      <c r="G82" s="103">
        <f t="shared" si="13"/>
        <v>0.44397324211477812</v>
      </c>
      <c r="H82" s="118">
        <f>Steuerung!$I$2</f>
        <v>0.14322087842138764</v>
      </c>
      <c r="I82" s="103">
        <f t="shared" si="14"/>
        <v>-23.870146403564611</v>
      </c>
      <c r="J82" s="117">
        <f t="shared" si="15"/>
        <v>-1.0444087646572728</v>
      </c>
      <c r="K82" s="103">
        <f t="shared" ref="K82:K115" si="21">(K81 +$V$8*J82 +$V$5*L81)/$W$10</f>
        <v>0.22247628842855577</v>
      </c>
      <c r="L82" s="103">
        <f t="shared" si="16"/>
        <v>-63.284303464037684</v>
      </c>
      <c r="M82" s="103">
        <f t="shared" si="17"/>
        <v>-10.070703924894604</v>
      </c>
      <c r="N82" s="118">
        <f>J82/Steuerung!$D$4</f>
        <v>-4.3517031860719702E-2</v>
      </c>
      <c r="O82" s="103">
        <f>K82/Steuerung!$D$2</f>
        <v>7.4158762809518594E-2</v>
      </c>
      <c r="P82" s="57">
        <f>60*M82/Steuerung!$D$1</f>
        <v>-0.20141407849789206</v>
      </c>
      <c r="Q82" s="103">
        <f t="shared" si="18"/>
        <v>0.68272569278048256</v>
      </c>
      <c r="R82" s="57">
        <f t="shared" si="19"/>
        <v>1.9182558203557876</v>
      </c>
      <c r="S82" s="57">
        <f t="shared" si="20"/>
        <v>-1.235530127575305</v>
      </c>
    </row>
    <row r="83" spans="1:19">
      <c r="A83" s="64">
        <v>67</v>
      </c>
      <c r="B83" s="64">
        <v>0</v>
      </c>
      <c r="C83" s="103">
        <f>B83*Steuerung!$D$1/(Steuerung!$D$4*60)</f>
        <v>0</v>
      </c>
      <c r="D83" s="103">
        <f t="shared" si="11"/>
        <v>11.804282217184202</v>
      </c>
      <c r="E83" s="103">
        <f t="shared" si="12"/>
        <v>17.353947743618928</v>
      </c>
      <c r="F83" s="103">
        <f>E83*Steuerung!$C$9</f>
        <v>0.17353947743618928</v>
      </c>
      <c r="G83" s="103">
        <f t="shared" si="13"/>
        <v>1.3883158194895142</v>
      </c>
      <c r="H83" s="118">
        <f>Steuerung!$I$2</f>
        <v>0.14322087842138764</v>
      </c>
      <c r="I83" s="103">
        <f t="shared" si="14"/>
        <v>-23.870146403564611</v>
      </c>
      <c r="J83" s="117">
        <f t="shared" si="15"/>
        <v>2.6317215209930311</v>
      </c>
      <c r="K83" s="103">
        <f t="shared" si="21"/>
        <v>1.6308664633341714</v>
      </c>
      <c r="L83" s="103">
        <f t="shared" si="16"/>
        <v>-74.17810945278552</v>
      </c>
      <c r="M83" s="103">
        <f t="shared" si="17"/>
        <v>-11.804282217184202</v>
      </c>
      <c r="N83" s="118">
        <f>J83/Steuerung!$D$4</f>
        <v>0.10965506337470964</v>
      </c>
      <c r="O83" s="103">
        <f>K83/Steuerung!$D$2</f>
        <v>0.54362215444472384</v>
      </c>
      <c r="P83" s="57">
        <f>60*M83/Steuerung!$D$1</f>
        <v>-0.23608564434368404</v>
      </c>
      <c r="Q83" s="103">
        <f t="shared" si="18"/>
        <v>-2.187748278878253</v>
      </c>
      <c r="R83" s="57">
        <f t="shared" si="19"/>
        <v>-0.28921917495712252</v>
      </c>
      <c r="S83" s="57">
        <f t="shared" si="20"/>
        <v>-1.8985291039211305</v>
      </c>
    </row>
    <row r="84" spans="1:19">
      <c r="A84" s="64">
        <v>68</v>
      </c>
      <c r="B84" s="64">
        <v>0</v>
      </c>
      <c r="C84" s="103">
        <f>B84*Steuerung!$D$1/(Steuerung!$D$4*60)</f>
        <v>0</v>
      </c>
      <c r="D84" s="103">
        <f t="shared" si="11"/>
        <v>12.168657348865413</v>
      </c>
      <c r="E84" s="103">
        <f t="shared" si="12"/>
        <v>29.522605092484341</v>
      </c>
      <c r="F84" s="103">
        <f>E84*Steuerung!$C$9</f>
        <v>0.29522605092484339</v>
      </c>
      <c r="G84" s="103">
        <f t="shared" si="13"/>
        <v>2.3618084073987471</v>
      </c>
      <c r="H84" s="118">
        <f>Steuerung!$I$2</f>
        <v>0.14322087842138764</v>
      </c>
      <c r="I84" s="103">
        <f t="shared" si="14"/>
        <v>-23.870146403564611</v>
      </c>
      <c r="J84" s="117">
        <f t="shared" si="15"/>
        <v>5.7337855054075026</v>
      </c>
      <c r="K84" s="103">
        <f t="shared" si="21"/>
        <v>2.7122263154017188</v>
      </c>
      <c r="L84" s="103">
        <f t="shared" si="16"/>
        <v>-76.467842780270246</v>
      </c>
      <c r="M84" s="103">
        <f t="shared" si="17"/>
        <v>-12.168657348865413</v>
      </c>
      <c r="N84" s="118">
        <f>J84/Steuerung!$D$4</f>
        <v>0.23890772939197927</v>
      </c>
      <c r="O84" s="103">
        <f>K84/Steuerung!$D$2</f>
        <v>0.90407543846723959</v>
      </c>
      <c r="P84" s="57">
        <f>60*M84/Steuerung!$D$1</f>
        <v>-0.24337314697730825</v>
      </c>
      <c r="Q84" s="103">
        <f t="shared" si="18"/>
        <v>-4.3454696859179887</v>
      </c>
      <c r="R84" s="57">
        <f t="shared" si="19"/>
        <v>-2.1201264023344231</v>
      </c>
      <c r="S84" s="57">
        <f t="shared" si="20"/>
        <v>-2.2253432835835656</v>
      </c>
    </row>
    <row r="85" spans="1:19">
      <c r="A85" s="64">
        <v>69</v>
      </c>
      <c r="B85" s="64">
        <v>0</v>
      </c>
      <c r="C85" s="103">
        <f>B85*Steuerung!$D$1/(Steuerung!$D$4*60)</f>
        <v>0</v>
      </c>
      <c r="D85" s="103">
        <f t="shared" si="11"/>
        <v>11.563195072784881</v>
      </c>
      <c r="E85" s="103">
        <f t="shared" si="12"/>
        <v>41.08580016526922</v>
      </c>
      <c r="F85" s="103">
        <f>E85*Steuerung!$C$9</f>
        <v>0.41085800165269221</v>
      </c>
      <c r="G85" s="103">
        <f t="shared" si="13"/>
        <v>3.2868640132215377</v>
      </c>
      <c r="H85" s="118">
        <f>Steuerung!$I$2</f>
        <v>0.14322087842138764</v>
      </c>
      <c r="I85" s="103">
        <f t="shared" si="14"/>
        <v>-23.870146403564611</v>
      </c>
      <c r="J85" s="117">
        <f t="shared" si="15"/>
        <v>8.1817379008290896</v>
      </c>
      <c r="K85" s="103">
        <f t="shared" si="21"/>
        <v>3.4781778308224225</v>
      </c>
      <c r="L85" s="103">
        <f t="shared" si="16"/>
        <v>-72.663117837380184</v>
      </c>
      <c r="M85" s="103">
        <f t="shared" si="17"/>
        <v>-11.563195072784881</v>
      </c>
      <c r="N85" s="118">
        <f>J85/Steuerung!$D$4</f>
        <v>0.34090574586787875</v>
      </c>
      <c r="O85" s="103">
        <f>K85/Steuerung!$D$2</f>
        <v>1.1593926102741408</v>
      </c>
      <c r="P85" s="57">
        <f>60*M85/Steuerung!$D$1</f>
        <v>-0.23126390145569761</v>
      </c>
      <c r="Q85" s="103">
        <f t="shared" si="18"/>
        <v>-5.819929493430342</v>
      </c>
      <c r="R85" s="57">
        <f t="shared" si="19"/>
        <v>-3.5258942100222344</v>
      </c>
      <c r="S85" s="57">
        <f t="shared" si="20"/>
        <v>-2.2940352834081073</v>
      </c>
    </row>
    <row r="86" spans="1:19">
      <c r="A86" s="64">
        <v>70</v>
      </c>
      <c r="B86" s="64">
        <v>0</v>
      </c>
      <c r="C86" s="103">
        <f>B86*Steuerung!$D$1/(Steuerung!$D$4*60)</f>
        <v>0</v>
      </c>
      <c r="D86" s="103">
        <f t="shared" si="11"/>
        <v>10.338583010716141</v>
      </c>
      <c r="E86" s="103">
        <f t="shared" si="12"/>
        <v>51.424383175985362</v>
      </c>
      <c r="F86" s="103">
        <f>E86*Steuerung!$C$9</f>
        <v>0.51424383175985366</v>
      </c>
      <c r="G86" s="103">
        <f t="shared" si="13"/>
        <v>4.1139506540788293</v>
      </c>
      <c r="H86" s="118">
        <f>Steuerung!$I$2</f>
        <v>0.14322087842138764</v>
      </c>
      <c r="I86" s="103">
        <f t="shared" si="14"/>
        <v>-23.870146403564611</v>
      </c>
      <c r="J86" s="117">
        <f t="shared" si="15"/>
        <v>9.988388728412092</v>
      </c>
      <c r="K86" s="103">
        <f t="shared" si="21"/>
        <v>3.9671656890496636</v>
      </c>
      <c r="L86" s="103">
        <f t="shared" si="16"/>
        <v>-64.967655639340222</v>
      </c>
      <c r="M86" s="103">
        <f t="shared" si="17"/>
        <v>-10.338583010716141</v>
      </c>
      <c r="N86" s="118">
        <f>J86/Steuerung!$D$4</f>
        <v>0.41618286368383717</v>
      </c>
      <c r="O86" s="103">
        <f>K86/Steuerung!$D$2</f>
        <v>1.3223885630165546</v>
      </c>
      <c r="P86" s="57">
        <f>60*M86/Steuerung!$D$1</f>
        <v>-0.20677166021432281</v>
      </c>
      <c r="Q86" s="103">
        <f t="shared" si="18"/>
        <v>-6.7015247151905548</v>
      </c>
      <c r="R86" s="57">
        <f t="shared" si="19"/>
        <v>-4.5216311800691491</v>
      </c>
      <c r="S86" s="57">
        <f t="shared" si="20"/>
        <v>-2.1798935351214053</v>
      </c>
    </row>
    <row r="87" spans="1:19">
      <c r="A87" s="64">
        <v>71</v>
      </c>
      <c r="B87" s="64">
        <v>0</v>
      </c>
      <c r="C87" s="103">
        <f>B87*Steuerung!$D$1/(Steuerung!$D$4*60)</f>
        <v>0</v>
      </c>
      <c r="D87" s="103">
        <f t="shared" si="11"/>
        <v>8.7816115759786193</v>
      </c>
      <c r="E87" s="103">
        <f t="shared" si="12"/>
        <v>60.205994751963985</v>
      </c>
      <c r="F87" s="103">
        <f>E87*Steuerung!$C$9</f>
        <v>0.60205994751963987</v>
      </c>
      <c r="G87" s="103">
        <f t="shared" si="13"/>
        <v>4.816479580157119</v>
      </c>
      <c r="H87" s="118">
        <f>Steuerung!$I$2</f>
        <v>0.14322087842138764</v>
      </c>
      <c r="I87" s="103">
        <f t="shared" si="14"/>
        <v>-23.870146403564611</v>
      </c>
      <c r="J87" s="117">
        <f t="shared" si="15"/>
        <v>11.2202957190236</v>
      </c>
      <c r="K87" s="103">
        <f t="shared" si="21"/>
        <v>4.2296541877635274</v>
      </c>
      <c r="L87" s="103">
        <f t="shared" si="16"/>
        <v>-55.183647143449647</v>
      </c>
      <c r="M87" s="103">
        <f t="shared" si="17"/>
        <v>-8.7816115759786193</v>
      </c>
      <c r="N87" s="118">
        <f>J87/Steuerung!$D$4</f>
        <v>0.46751232162598333</v>
      </c>
      <c r="O87" s="103">
        <f>K87/Steuerung!$D$2</f>
        <v>1.4098847292545091</v>
      </c>
      <c r="P87" s="57">
        <f>60*M87/Steuerung!$D$1</f>
        <v>-0.17563223151957238</v>
      </c>
      <c r="Q87" s="103">
        <f t="shared" si="18"/>
        <v>-7.1063450649447697</v>
      </c>
      <c r="R87" s="57">
        <f t="shared" si="19"/>
        <v>-5.157315395764563</v>
      </c>
      <c r="S87" s="57">
        <f t="shared" si="20"/>
        <v>-1.9490296691802067</v>
      </c>
    </row>
    <row r="88" spans="1:19">
      <c r="A88" s="64">
        <v>72</v>
      </c>
      <c r="B88" s="64">
        <v>0</v>
      </c>
      <c r="C88" s="103">
        <f>B88*Steuerung!$D$1/(Steuerung!$D$4*60)</f>
        <v>0</v>
      </c>
      <c r="D88" s="103">
        <f t="shared" si="11"/>
        <v>7.1120609054795665</v>
      </c>
      <c r="E88" s="103">
        <f t="shared" si="12"/>
        <v>67.318055657443551</v>
      </c>
      <c r="F88" s="103">
        <f>E88*Steuerung!$C$9</f>
        <v>0.67318055657443554</v>
      </c>
      <c r="G88" s="103">
        <f t="shared" si="13"/>
        <v>5.3854444525954843</v>
      </c>
      <c r="H88" s="118">
        <f>Steuerung!$I$2</f>
        <v>0.14322087842138764</v>
      </c>
      <c r="I88" s="103">
        <f t="shared" si="14"/>
        <v>-23.870146403564611</v>
      </c>
      <c r="J88" s="117">
        <f t="shared" si="15"/>
        <v>11.970539438553194</v>
      </c>
      <c r="K88" s="103">
        <f t="shared" si="21"/>
        <v>4.3185662420381297</v>
      </c>
      <c r="L88" s="103">
        <f t="shared" si="16"/>
        <v>-44.692190730033595</v>
      </c>
      <c r="M88" s="103">
        <f t="shared" si="17"/>
        <v>-7.1120609054795665</v>
      </c>
      <c r="N88" s="118">
        <f>J88/Steuerung!$D$4</f>
        <v>0.49877247660638308</v>
      </c>
      <c r="O88" s="103">
        <f>K88/Steuerung!$D$2</f>
        <v>1.4395220806793765</v>
      </c>
      <c r="P88" s="57">
        <f>60*M88/Steuerung!$D$1</f>
        <v>-0.14224121810959134</v>
      </c>
      <c r="Q88" s="103">
        <f t="shared" si="18"/>
        <v>-7.1540598583960753</v>
      </c>
      <c r="R88" s="57">
        <f t="shared" si="19"/>
        <v>-5.4985504440925856</v>
      </c>
      <c r="S88" s="57">
        <f t="shared" si="20"/>
        <v>-1.6555094143034894</v>
      </c>
    </row>
    <row r="89" spans="1:19">
      <c r="A89" s="64">
        <v>73</v>
      </c>
      <c r="B89" s="64">
        <v>0</v>
      </c>
      <c r="C89" s="103">
        <f>B89*Steuerung!$D$1/(Steuerung!$D$4*60)</f>
        <v>0</v>
      </c>
      <c r="D89" s="103">
        <f t="shared" si="11"/>
        <v>5.4869621845731622</v>
      </c>
      <c r="E89" s="103">
        <f t="shared" si="12"/>
        <v>72.80501784201671</v>
      </c>
      <c r="F89" s="103">
        <f>E89*Steuerung!$C$9</f>
        <v>0.72805017842016706</v>
      </c>
      <c r="G89" s="103">
        <f t="shared" si="13"/>
        <v>5.8244014273613365</v>
      </c>
      <c r="H89" s="118">
        <f>Steuerung!$I$2</f>
        <v>0.14322087842138764</v>
      </c>
      <c r="I89" s="103">
        <f t="shared" si="14"/>
        <v>-23.870146403564611</v>
      </c>
      <c r="J89" s="117">
        <f t="shared" si="15"/>
        <v>12.340346289146062</v>
      </c>
      <c r="K89" s="103">
        <f t="shared" si="21"/>
        <v>4.2834592871182604</v>
      </c>
      <c r="L89" s="103">
        <f t="shared" si="16"/>
        <v>-34.480070367857749</v>
      </c>
      <c r="M89" s="103">
        <f t="shared" si="17"/>
        <v>-5.4869621845731622</v>
      </c>
      <c r="N89" s="118">
        <f>J89/Steuerung!$D$4</f>
        <v>0.51418109538108592</v>
      </c>
      <c r="O89" s="103">
        <f>K89/Steuerung!$D$2</f>
        <v>1.4278197623727535</v>
      </c>
      <c r="P89" s="57">
        <f>60*M89/Steuerung!$D$1</f>
        <v>-0.10973924369146325</v>
      </c>
      <c r="Q89" s="103">
        <f t="shared" si="18"/>
        <v>-6.9549018365505768</v>
      </c>
      <c r="R89" s="57">
        <f t="shared" si="19"/>
        <v>-5.6141361146495692</v>
      </c>
      <c r="S89" s="57">
        <f t="shared" si="20"/>
        <v>-1.3407657219010078</v>
      </c>
    </row>
    <row r="90" spans="1:19">
      <c r="A90" s="64">
        <v>74</v>
      </c>
      <c r="B90" s="64">
        <v>0</v>
      </c>
      <c r="C90" s="103">
        <f>B90*Steuerung!$D$1/(Steuerung!$D$4*60)</f>
        <v>0</v>
      </c>
      <c r="D90" s="103">
        <f t="shared" si="11"/>
        <v>4.0088948934887432</v>
      </c>
      <c r="E90" s="103">
        <f t="shared" si="12"/>
        <v>76.813912735505454</v>
      </c>
      <c r="F90" s="103">
        <f>E90*Steuerung!$C$9</f>
        <v>0.76813912735505452</v>
      </c>
      <c r="G90" s="103">
        <f t="shared" si="13"/>
        <v>6.1451130188404361</v>
      </c>
      <c r="H90" s="118">
        <f>Steuerung!$I$2</f>
        <v>0.14322087842138764</v>
      </c>
      <c r="I90" s="103">
        <f t="shared" si="14"/>
        <v>-23.870146403564611</v>
      </c>
      <c r="J90" s="117">
        <f t="shared" si="15"/>
        <v>12.427300611650807</v>
      </c>
      <c r="K90" s="103">
        <f t="shared" si="21"/>
        <v>4.1673378160496899</v>
      </c>
      <c r="L90" s="103">
        <f t="shared" si="16"/>
        <v>-25.19189551068326</v>
      </c>
      <c r="M90" s="103">
        <f t="shared" si="17"/>
        <v>-4.0088948934887432</v>
      </c>
      <c r="N90" s="118">
        <f>J90/Steuerung!$D$4</f>
        <v>0.51780419215211693</v>
      </c>
      <c r="O90" s="103">
        <f>K90/Steuerung!$D$2</f>
        <v>1.3891126053498966</v>
      </c>
      <c r="P90" s="57">
        <f>60*M90/Steuerung!$D$1</f>
        <v>-8.0177897869774861E-2</v>
      </c>
      <c r="Q90" s="103">
        <f t="shared" si="18"/>
        <v>-6.6028991842894715</v>
      </c>
      <c r="R90" s="57">
        <f t="shared" si="19"/>
        <v>-5.5684970732537389</v>
      </c>
      <c r="S90" s="57">
        <f t="shared" si="20"/>
        <v>-1.0344021110357324</v>
      </c>
    </row>
    <row r="91" spans="1:19">
      <c r="A91" s="64">
        <v>75</v>
      </c>
      <c r="B91" s="64">
        <v>0</v>
      </c>
      <c r="C91" s="103">
        <f>B91*Steuerung!$D$1/(Steuerung!$D$4*60)</f>
        <v>0</v>
      </c>
      <c r="D91" s="103">
        <f t="shared" si="11"/>
        <v>2.736017932401368</v>
      </c>
      <c r="E91" s="103">
        <f t="shared" si="12"/>
        <v>79.549930667906821</v>
      </c>
      <c r="F91" s="103">
        <f>E91*Steuerung!$C$9</f>
        <v>0.79549930667906821</v>
      </c>
      <c r="G91" s="103">
        <f t="shared" si="13"/>
        <v>6.3639944534325457</v>
      </c>
      <c r="H91" s="118">
        <f>Steuerung!$I$2</f>
        <v>0.14322087842138764</v>
      </c>
      <c r="I91" s="103">
        <f t="shared" si="14"/>
        <v>-23.870146403564611</v>
      </c>
      <c r="J91" s="117">
        <f t="shared" si="15"/>
        <v>12.318409045025531</v>
      </c>
      <c r="K91" s="103">
        <f t="shared" si="21"/>
        <v>4.0052840089340949</v>
      </c>
      <c r="L91" s="103">
        <f t="shared" si="16"/>
        <v>-17.193136687210195</v>
      </c>
      <c r="M91" s="103">
        <f t="shared" si="17"/>
        <v>-2.736017932401368</v>
      </c>
      <c r="N91" s="118">
        <f>J91/Steuerung!$D$4</f>
        <v>0.51326704354273045</v>
      </c>
      <c r="O91" s="103">
        <f>K91/Steuerung!$D$2</f>
        <v>1.3350946696446984</v>
      </c>
      <c r="P91" s="57">
        <f>60*M91/Steuerung!$D$1</f>
        <v>-5.4720358648027365E-2</v>
      </c>
      <c r="Q91" s="103">
        <f t="shared" si="18"/>
        <v>-6.1732960261850947</v>
      </c>
      <c r="R91" s="57">
        <f t="shared" si="19"/>
        <v>-5.4175391608645969</v>
      </c>
      <c r="S91" s="57">
        <f t="shared" si="20"/>
        <v>-0.75575686532049779</v>
      </c>
    </row>
    <row r="92" spans="1:19">
      <c r="A92" s="64">
        <v>76</v>
      </c>
      <c r="B92" s="64">
        <v>0</v>
      </c>
      <c r="C92" s="103">
        <f>B92*Steuerung!$D$1/(Steuerung!$D$4*60)</f>
        <v>0</v>
      </c>
      <c r="D92" s="103">
        <f t="shared" si="11"/>
        <v>1.6923082787654817</v>
      </c>
      <c r="E92" s="103">
        <f t="shared" si="12"/>
        <v>81.242238946672302</v>
      </c>
      <c r="F92" s="103">
        <f>E92*Steuerung!$C$9</f>
        <v>0.81242238946672307</v>
      </c>
      <c r="G92" s="103">
        <f t="shared" si="13"/>
        <v>6.4993791157337846</v>
      </c>
      <c r="H92" s="118">
        <f>Steuerung!$I$2</f>
        <v>0.14322087842138764</v>
      </c>
      <c r="I92" s="103">
        <f t="shared" si="14"/>
        <v>-23.870146403564611</v>
      </c>
      <c r="J92" s="117">
        <f t="shared" si="15"/>
        <v>12.086657765663176</v>
      </c>
      <c r="K92" s="103">
        <f t="shared" si="21"/>
        <v>3.8242938295261335</v>
      </c>
      <c r="L92" s="103">
        <f t="shared" si="16"/>
        <v>-10.634465223762287</v>
      </c>
      <c r="M92" s="103">
        <f t="shared" si="17"/>
        <v>-1.6923082787654817</v>
      </c>
      <c r="N92" s="118">
        <f>J92/Steuerung!$D$4</f>
        <v>0.50361074023596564</v>
      </c>
      <c r="O92" s="103">
        <f>K92/Steuerung!$D$2</f>
        <v>1.2747646098420444</v>
      </c>
      <c r="P92" s="57">
        <f>60*M92/Steuerung!$D$1</f>
        <v>-3.3846165575309638E-2</v>
      </c>
      <c r="Q92" s="103">
        <f t="shared" si="18"/>
        <v>-5.7226633122306296</v>
      </c>
      <c r="R92" s="57">
        <f t="shared" si="19"/>
        <v>-5.2068692116143236</v>
      </c>
      <c r="S92" s="57">
        <f t="shared" si="20"/>
        <v>-0.51579410061630582</v>
      </c>
    </row>
    <row r="93" spans="1:19">
      <c r="A93" s="64">
        <v>77</v>
      </c>
      <c r="B93" s="64">
        <v>0</v>
      </c>
      <c r="C93" s="103">
        <f>B93*Steuerung!$D$1/(Steuerung!$D$4*60)</f>
        <v>0</v>
      </c>
      <c r="D93" s="103">
        <f t="shared" si="11"/>
        <v>0.87705817800865038</v>
      </c>
      <c r="E93" s="103">
        <f t="shared" si="12"/>
        <v>82.119297124680955</v>
      </c>
      <c r="F93" s="103">
        <f>E93*Steuerung!$C$9</f>
        <v>0.82119297124680957</v>
      </c>
      <c r="G93" s="103">
        <f t="shared" si="13"/>
        <v>6.5695437699744765</v>
      </c>
      <c r="H93" s="118">
        <f>Steuerung!$I$2</f>
        <v>0.14322087842138764</v>
      </c>
      <c r="I93" s="103">
        <f t="shared" si="14"/>
        <v>-23.870146403564611</v>
      </c>
      <c r="J93" s="117">
        <f t="shared" si="15"/>
        <v>11.789995050830626</v>
      </c>
      <c r="K93" s="103">
        <f t="shared" si="21"/>
        <v>3.6438626156550376</v>
      </c>
      <c r="L93" s="103">
        <f t="shared" si="16"/>
        <v>-5.5114335906063587</v>
      </c>
      <c r="M93" s="103">
        <f t="shared" si="17"/>
        <v>-0.87705817800865038</v>
      </c>
      <c r="N93" s="118">
        <f>J93/Steuerung!$D$4</f>
        <v>0.49124979378460942</v>
      </c>
      <c r="O93" s="103">
        <f>K93/Steuerung!$D$2</f>
        <v>1.2146208718850124</v>
      </c>
      <c r="P93" s="57">
        <f>60*M93/Steuerung!$D$1</f>
        <v>-1.7541163560173007E-2</v>
      </c>
      <c r="Q93" s="103">
        <f t="shared" si="18"/>
        <v>-5.2906159350968416</v>
      </c>
      <c r="R93" s="57">
        <f t="shared" si="19"/>
        <v>-4.9715819783839734</v>
      </c>
      <c r="S93" s="57">
        <f t="shared" si="20"/>
        <v>-0.3190339567128686</v>
      </c>
    </row>
    <row r="94" spans="1:19">
      <c r="A94" s="64">
        <v>78</v>
      </c>
      <c r="B94" s="64">
        <v>0</v>
      </c>
      <c r="C94" s="103">
        <f>B94*Steuerung!$D$1/(Steuerung!$D$4*60)</f>
        <v>0</v>
      </c>
      <c r="D94" s="103">
        <f t="shared" si="11"/>
        <v>0.27310441593201551</v>
      </c>
      <c r="E94" s="103">
        <f t="shared" si="12"/>
        <v>82.392401540612966</v>
      </c>
      <c r="F94" s="103">
        <f>E94*Steuerung!$C$9</f>
        <v>0.8239240154061297</v>
      </c>
      <c r="G94" s="103">
        <f t="shared" si="13"/>
        <v>6.5913921232490376</v>
      </c>
      <c r="H94" s="118">
        <f>Steuerung!$I$2</f>
        <v>0.14322087842138764</v>
      </c>
      <c r="I94" s="103">
        <f t="shared" si="14"/>
        <v>-23.870146403564611</v>
      </c>
      <c r="J94" s="117">
        <f t="shared" si="15"/>
        <v>11.471908178044217</v>
      </c>
      <c r="K94" s="103">
        <f t="shared" si="21"/>
        <v>3.4769864470110021</v>
      </c>
      <c r="L94" s="103">
        <f t="shared" si="16"/>
        <v>-1.7161881497167855</v>
      </c>
      <c r="M94" s="103">
        <f t="shared" si="17"/>
        <v>-0.27310441593201551</v>
      </c>
      <c r="N94" s="118">
        <f>J94/Steuerung!$D$4</f>
        <v>0.4779961740851757</v>
      </c>
      <c r="O94" s="103">
        <f>K94/Steuerung!$D$2</f>
        <v>1.1589954823370008</v>
      </c>
      <c r="P94" s="57">
        <f>60*M94/Steuerung!$D$1</f>
        <v>-5.4620883186403098E-3</v>
      </c>
      <c r="Q94" s="103">
        <f t="shared" si="18"/>
        <v>-4.9023644080697393</v>
      </c>
      <c r="R94" s="57">
        <f t="shared" si="19"/>
        <v>-4.7370214003515487</v>
      </c>
      <c r="S94" s="57">
        <f t="shared" si="20"/>
        <v>-0.16534300771819074</v>
      </c>
    </row>
    <row r="95" spans="1:19">
      <c r="A95" s="64">
        <v>79</v>
      </c>
      <c r="B95" s="64">
        <v>0</v>
      </c>
      <c r="C95" s="103">
        <f>B95*Steuerung!$D$1/(Steuerung!$D$4*60)</f>
        <v>0</v>
      </c>
      <c r="D95" s="103">
        <f t="shared" si="11"/>
        <v>-0.14643629502087027</v>
      </c>
      <c r="E95" s="103">
        <f t="shared" si="12"/>
        <v>82.245965245592089</v>
      </c>
      <c r="F95" s="103">
        <f>E95*Steuerung!$C$9</f>
        <v>0.8224596524559209</v>
      </c>
      <c r="G95" s="103">
        <f t="shared" si="13"/>
        <v>6.5796772196473672</v>
      </c>
      <c r="H95" s="118">
        <f>Steuerung!$I$2</f>
        <v>0.14322087842138764</v>
      </c>
      <c r="I95" s="103">
        <f t="shared" si="14"/>
        <v>-23.870146403564611</v>
      </c>
      <c r="J95" s="117">
        <f t="shared" si="15"/>
        <v>11.162960148854843</v>
      </c>
      <c r="K95" s="103">
        <f t="shared" si="21"/>
        <v>3.331341976256279</v>
      </c>
      <c r="L95" s="103">
        <f t="shared" si="16"/>
        <v>0.92020567791114871</v>
      </c>
      <c r="M95" s="103">
        <f t="shared" si="17"/>
        <v>0.14643629502087027</v>
      </c>
      <c r="N95" s="118">
        <f>J95/Steuerung!$D$4</f>
        <v>0.46512333953561846</v>
      </c>
      <c r="O95" s="103">
        <f>K95/Steuerung!$D$2</f>
        <v>1.1104473254187597</v>
      </c>
      <c r="P95" s="57">
        <f>60*M95/Steuerung!$D$1</f>
        <v>2.9287259004174052E-3</v>
      </c>
      <c r="Q95" s="103">
        <f t="shared" si="18"/>
        <v>-4.5715680256058064</v>
      </c>
      <c r="R95" s="57">
        <f t="shared" si="19"/>
        <v>-4.5200823811143032</v>
      </c>
      <c r="S95" s="57">
        <f t="shared" si="20"/>
        <v>-5.1485644491503564E-2</v>
      </c>
    </row>
    <row r="96" spans="1:19">
      <c r="A96" s="64">
        <v>80</v>
      </c>
      <c r="B96" s="64">
        <v>0</v>
      </c>
      <c r="C96" s="103">
        <f>B96*Steuerung!$D$1/(Steuerung!$D$4*60)</f>
        <v>0</v>
      </c>
      <c r="D96" s="103">
        <f t="shared" si="11"/>
        <v>-4.2115065042834035</v>
      </c>
      <c r="E96" s="103">
        <f t="shared" si="12"/>
        <v>78.034458741308683</v>
      </c>
      <c r="F96" s="103">
        <f>E96*Steuerung!$C$9</f>
        <v>0.78034458741308688</v>
      </c>
      <c r="G96" s="103">
        <f t="shared" si="13"/>
        <v>6.242756699304695</v>
      </c>
      <c r="H96" s="64">
        <v>0</v>
      </c>
      <c r="I96" s="103">
        <f t="shared" si="14"/>
        <v>0</v>
      </c>
      <c r="J96" s="117">
        <f t="shared" si="15"/>
        <v>10.882815618443196</v>
      </c>
      <c r="K96" s="103">
        <f t="shared" si="21"/>
        <v>3.2104831821883235</v>
      </c>
      <c r="L96" s="103">
        <f t="shared" si="16"/>
        <v>26.465106872916905</v>
      </c>
      <c r="M96" s="103">
        <f t="shared" si="17"/>
        <v>4.2115065042834035</v>
      </c>
      <c r="N96" s="118">
        <f>J96/Steuerung!$D$4</f>
        <v>0.45345065076846652</v>
      </c>
      <c r="O96" s="103">
        <f>K96/Steuerung!$D$2</f>
        <v>1.0701610607294412</v>
      </c>
      <c r="P96" s="57">
        <f>60*M96/Steuerung!$D$1</f>
        <v>8.423013008566807E-2</v>
      </c>
      <c r="Q96" s="103">
        <f t="shared" si="18"/>
        <v>-4.3031383987958289</v>
      </c>
      <c r="R96" s="57">
        <f t="shared" si="19"/>
        <v>-4.330744569133163</v>
      </c>
      <c r="S96" s="57">
        <f t="shared" si="20"/>
        <v>2.7606170337334462E-2</v>
      </c>
    </row>
    <row r="97" spans="1:19">
      <c r="A97" s="64">
        <v>81</v>
      </c>
      <c r="B97" s="64">
        <v>0</v>
      </c>
      <c r="C97" s="103">
        <f>B97*Steuerung!$D$1/(Steuerung!$D$4*60)</f>
        <v>0</v>
      </c>
      <c r="D97" s="103">
        <f t="shared" si="11"/>
        <v>-7.3698365657098357</v>
      </c>
      <c r="E97" s="103">
        <f t="shared" si="12"/>
        <v>70.664622175598851</v>
      </c>
      <c r="F97" s="103">
        <f>E97*Steuerung!$C$9</f>
        <v>0.70664622175598857</v>
      </c>
      <c r="G97" s="103">
        <f t="shared" si="13"/>
        <v>5.6531697740479085</v>
      </c>
      <c r="H97" s="64">
        <v>0</v>
      </c>
      <c r="I97" s="103">
        <f t="shared" si="14"/>
        <v>0</v>
      </c>
      <c r="J97" s="117">
        <f t="shared" si="15"/>
        <v>9.6224316299620085</v>
      </c>
      <c r="K97" s="103">
        <f t="shared" si="21"/>
        <v>2.494364186602545</v>
      </c>
      <c r="L97" s="103">
        <f t="shared" si="16"/>
        <v>46.312052978920605</v>
      </c>
      <c r="M97" s="103">
        <f t="shared" si="17"/>
        <v>7.3698365657098357</v>
      </c>
      <c r="N97" s="118">
        <f>J97/Steuerung!$D$4</f>
        <v>0.40093465124841704</v>
      </c>
      <c r="O97" s="103">
        <f>K97/Steuerung!$D$2</f>
        <v>0.83145472886751504</v>
      </c>
      <c r="P97" s="57">
        <f>60*M97/Steuerung!$D$1</f>
        <v>0.14739673131419673</v>
      </c>
      <c r="Q97" s="103">
        <f t="shared" si="18"/>
        <v>-3.3796749306573135</v>
      </c>
      <c r="R97" s="57">
        <f t="shared" si="19"/>
        <v>-4.1736281368448207</v>
      </c>
      <c r="S97" s="57">
        <f t="shared" si="20"/>
        <v>0.79395320618750709</v>
      </c>
    </row>
    <row r="98" spans="1:19">
      <c r="A98" s="64">
        <v>82</v>
      </c>
      <c r="B98" s="64">
        <v>0</v>
      </c>
      <c r="C98" s="103">
        <f>B98*Steuerung!$D$1/(Steuerung!$D$4*60)</f>
        <v>0</v>
      </c>
      <c r="D98" s="103">
        <f t="shared" si="11"/>
        <v>-9.3874379159220389</v>
      </c>
      <c r="E98" s="103">
        <f t="shared" si="12"/>
        <v>61.277184259676815</v>
      </c>
      <c r="F98" s="103">
        <f>E98*Steuerung!$C$9</f>
        <v>0.6127718425967682</v>
      </c>
      <c r="G98" s="103">
        <f t="shared" si="13"/>
        <v>4.9021747407741456</v>
      </c>
      <c r="H98" s="64">
        <v>0</v>
      </c>
      <c r="I98" s="103">
        <f t="shared" si="14"/>
        <v>0</v>
      </c>
      <c r="J98" s="117">
        <f t="shared" si="15"/>
        <v>7.5064816272635992</v>
      </c>
      <c r="K98" s="103">
        <f t="shared" si="21"/>
        <v>1.5934473132733038</v>
      </c>
      <c r="L98" s="103">
        <f t="shared" si="16"/>
        <v>58.990659863654088</v>
      </c>
      <c r="M98" s="103">
        <f t="shared" si="17"/>
        <v>9.3874379159220389</v>
      </c>
      <c r="N98" s="118">
        <f>J98/Steuerung!$D$4</f>
        <v>0.31277006780264999</v>
      </c>
      <c r="O98" s="103">
        <f>K98/Steuerung!$D$2</f>
        <v>0.53114910442443464</v>
      </c>
      <c r="P98" s="57">
        <f>60*M98/Steuerung!$D$1</f>
        <v>0.18774875831844076</v>
      </c>
      <c r="Q98" s="103">
        <f t="shared" si="18"/>
        <v>-1.8533118532156905</v>
      </c>
      <c r="R98" s="57">
        <f t="shared" si="19"/>
        <v>-3.2426734425833086</v>
      </c>
      <c r="S98" s="57">
        <f t="shared" si="20"/>
        <v>1.3893615893676181</v>
      </c>
    </row>
    <row r="99" spans="1:19">
      <c r="A99" s="64">
        <v>83</v>
      </c>
      <c r="B99" s="64">
        <v>0</v>
      </c>
      <c r="C99" s="103">
        <f>B99*Steuerung!$D$1/(Steuerung!$D$4*60)</f>
        <v>0</v>
      </c>
      <c r="D99" s="103">
        <f t="shared" si="11"/>
        <v>-10.314211882728536</v>
      </c>
      <c r="E99" s="103">
        <f t="shared" si="12"/>
        <v>50.962972376948279</v>
      </c>
      <c r="F99" s="103">
        <f>E99*Steuerung!$C$9</f>
        <v>0.50962972376948279</v>
      </c>
      <c r="G99" s="103">
        <f t="shared" si="13"/>
        <v>4.0770377901558623</v>
      </c>
      <c r="H99" s="64">
        <v>0</v>
      </c>
      <c r="I99" s="103">
        <f t="shared" si="14"/>
        <v>0</v>
      </c>
      <c r="J99" s="117">
        <f t="shared" si="15"/>
        <v>5.2039364521198177</v>
      </c>
      <c r="K99" s="103">
        <f t="shared" si="21"/>
        <v>0.73194116729954417</v>
      </c>
      <c r="L99" s="103">
        <f t="shared" si="16"/>
        <v>64.814507471066122</v>
      </c>
      <c r="M99" s="103">
        <f t="shared" si="17"/>
        <v>10.314211882728536</v>
      </c>
      <c r="N99" s="118">
        <f>J99/Steuerung!$D$4</f>
        <v>0.2168306855049924</v>
      </c>
      <c r="O99" s="103">
        <f>K99/Steuerung!$D$2</f>
        <v>0.24398038909984807</v>
      </c>
      <c r="P99" s="57">
        <f>60*M99/Steuerung!$D$1</f>
        <v>0.20628423765457074</v>
      </c>
      <c r="Q99" s="103">
        <f t="shared" si="18"/>
        <v>-0.30176171134567253</v>
      </c>
      <c r="R99" s="57">
        <f t="shared" si="19"/>
        <v>-2.071481507255295</v>
      </c>
      <c r="S99" s="57">
        <f t="shared" si="20"/>
        <v>1.7697197959096225</v>
      </c>
    </row>
    <row r="100" spans="1:19">
      <c r="A100" s="64">
        <v>84</v>
      </c>
      <c r="B100" s="64">
        <v>0</v>
      </c>
      <c r="C100" s="103">
        <f>B100*Steuerung!$D$1/(Steuerung!$D$4*60)</f>
        <v>0</v>
      </c>
      <c r="D100" s="103">
        <f t="shared" si="11"/>
        <v>-10.337155779603684</v>
      </c>
      <c r="E100" s="103">
        <f t="shared" si="12"/>
        <v>40.625816597344595</v>
      </c>
      <c r="F100" s="103">
        <f>E100*Steuerung!$C$9</f>
        <v>0.40625816597344594</v>
      </c>
      <c r="G100" s="103">
        <f t="shared" si="13"/>
        <v>3.2500653277875675</v>
      </c>
      <c r="H100" s="64">
        <v>0</v>
      </c>
      <c r="I100" s="103">
        <f t="shared" si="14"/>
        <v>0</v>
      </c>
      <c r="J100" s="117">
        <f t="shared" si="15"/>
        <v>3.0841260835132864</v>
      </c>
      <c r="K100" s="103">
        <f t="shared" si="21"/>
        <v>1.8120473020043625E-2</v>
      </c>
      <c r="L100" s="103">
        <f t="shared" si="16"/>
        <v>64.958686919029546</v>
      </c>
      <c r="M100" s="103">
        <f t="shared" si="17"/>
        <v>10.337155779603684</v>
      </c>
      <c r="N100" s="118">
        <f>J100/Steuerung!$D$4</f>
        <v>0.12850525347972028</v>
      </c>
      <c r="O100" s="103">
        <f>K100/Steuerung!$D$2</f>
        <v>6.0401576733478748E-3</v>
      </c>
      <c r="P100" s="57">
        <f>60*M100/Steuerung!$D$1</f>
        <v>0.2067431155920737</v>
      </c>
      <c r="Q100" s="103">
        <f t="shared" si="18"/>
        <v>0.99291170664257611</v>
      </c>
      <c r="R100" s="57">
        <f t="shared" si="19"/>
        <v>-0.95152351748940744</v>
      </c>
      <c r="S100" s="57">
        <f t="shared" si="20"/>
        <v>1.9444352241319836</v>
      </c>
    </row>
    <row r="101" spans="1:19">
      <c r="A101" s="64">
        <v>85</v>
      </c>
      <c r="B101" s="64">
        <v>0</v>
      </c>
      <c r="C101" s="103">
        <f>B101*Steuerung!$D$1/(Steuerung!$D$4*60)</f>
        <v>0</v>
      </c>
      <c r="D101" s="103">
        <f t="shared" si="11"/>
        <v>-9.6914928242484901</v>
      </c>
      <c r="E101" s="103">
        <f t="shared" si="12"/>
        <v>30.934323773096104</v>
      </c>
      <c r="F101" s="103">
        <f>E101*Steuerung!$C$9</f>
        <v>0.30934323773096106</v>
      </c>
      <c r="G101" s="103">
        <f t="shared" si="13"/>
        <v>2.4747459018476885</v>
      </c>
      <c r="H101" s="64">
        <v>0</v>
      </c>
      <c r="I101" s="103">
        <f t="shared" si="14"/>
        <v>0</v>
      </c>
      <c r="J101" s="117">
        <f t="shared" si="15"/>
        <v>1.3248613351427379</v>
      </c>
      <c r="K101" s="103">
        <f t="shared" si="21"/>
        <v>-0.5099272467192919</v>
      </c>
      <c r="L101" s="103">
        <f t="shared" si="16"/>
        <v>60.901340907577506</v>
      </c>
      <c r="M101" s="103">
        <f t="shared" si="17"/>
        <v>9.6914928242484901</v>
      </c>
      <c r="N101" s="118">
        <f>J101/Steuerung!$D$4</f>
        <v>5.5202555630947413E-2</v>
      </c>
      <c r="O101" s="103">
        <f>K101/Steuerung!$D$2</f>
        <v>-0.16997574890643063</v>
      </c>
      <c r="P101" s="57">
        <f>60*M101/Steuerung!$D$1</f>
        <v>0.19382985648496981</v>
      </c>
      <c r="Q101" s="103">
        <f t="shared" si="18"/>
        <v>1.9252039926448297</v>
      </c>
      <c r="R101" s="57">
        <f t="shared" si="19"/>
        <v>-2.3556614926056714E-2</v>
      </c>
      <c r="S101" s="57">
        <f t="shared" si="20"/>
        <v>1.9487606075708863</v>
      </c>
    </row>
    <row r="102" spans="1:19">
      <c r="A102" s="64">
        <v>86</v>
      </c>
      <c r="B102" s="64">
        <v>0</v>
      </c>
      <c r="C102" s="103">
        <f>B102*Steuerung!$D$1/(Steuerung!$D$4*60)</f>
        <v>0</v>
      </c>
      <c r="D102" s="103">
        <f t="shared" si="11"/>
        <v>-8.6094988938416943</v>
      </c>
      <c r="E102" s="103">
        <f t="shared" si="12"/>
        <v>22.324824879254408</v>
      </c>
      <c r="F102" s="103">
        <f>E102*Steuerung!$C$9</f>
        <v>0.22324824879254407</v>
      </c>
      <c r="G102" s="103">
        <f t="shared" si="13"/>
        <v>1.7859859903403525</v>
      </c>
      <c r="H102" s="64">
        <v>0</v>
      </c>
      <c r="I102" s="103">
        <f t="shared" si="14"/>
        <v>0</v>
      </c>
      <c r="J102" s="117">
        <f t="shared" si="15"/>
        <v>-1.5199746114716195E-2</v>
      </c>
      <c r="K102" s="103">
        <f t="shared" si="21"/>
        <v>-0.85452972223843682</v>
      </c>
      <c r="L102" s="103">
        <f t="shared" si="16"/>
        <v>54.102091048901208</v>
      </c>
      <c r="M102" s="103">
        <f t="shared" si="17"/>
        <v>8.6094988938416943</v>
      </c>
      <c r="N102" s="118">
        <f>J102/Steuerung!$D$4</f>
        <v>-6.3332275477984146E-4</v>
      </c>
      <c r="O102" s="103">
        <f>K102/Steuerung!$D$2</f>
        <v>-0.28484324074614559</v>
      </c>
      <c r="P102" s="57">
        <f>60*M102/Steuerung!$D$1</f>
        <v>0.17218997787683388</v>
      </c>
      <c r="Q102" s="103">
        <f t="shared" si="18"/>
        <v>2.4899456479624047</v>
      </c>
      <c r="R102" s="57">
        <f t="shared" si="19"/>
        <v>0.66290542073507952</v>
      </c>
      <c r="S102" s="57">
        <f t="shared" si="20"/>
        <v>1.8270402272273252</v>
      </c>
    </row>
    <row r="103" spans="1:19">
      <c r="A103" s="64">
        <v>87</v>
      </c>
      <c r="B103" s="64">
        <v>0</v>
      </c>
      <c r="C103" s="103">
        <f>B103*Steuerung!$D$1/(Steuerung!$D$4*60)</f>
        <v>0</v>
      </c>
      <c r="D103" s="103">
        <f t="shared" si="11"/>
        <v>-7.293677331615168</v>
      </c>
      <c r="E103" s="103">
        <f t="shared" si="12"/>
        <v>15.03114754763924</v>
      </c>
      <c r="F103" s="103">
        <f>E103*Steuerung!$C$9</f>
        <v>0.1503114754763924</v>
      </c>
      <c r="G103" s="103">
        <f t="shared" si="13"/>
        <v>1.2024918038111392</v>
      </c>
      <c r="H103" s="64">
        <v>0</v>
      </c>
      <c r="I103" s="103">
        <f t="shared" si="14"/>
        <v>0</v>
      </c>
      <c r="J103" s="117">
        <f t="shared" si="15"/>
        <v>-0.94796538003665143</v>
      </c>
      <c r="K103" s="103">
        <f t="shared" si="21"/>
        <v>-1.0392005005629181</v>
      </c>
      <c r="L103" s="103">
        <f t="shared" si="16"/>
        <v>45.833468351869712</v>
      </c>
      <c r="M103" s="103">
        <f t="shared" si="17"/>
        <v>7.293677331615168</v>
      </c>
      <c r="N103" s="118">
        <f>J103/Steuerung!$D$4</f>
        <v>-3.9498557501527143E-2</v>
      </c>
      <c r="O103" s="103">
        <f>K103/Steuerung!$D$2</f>
        <v>-0.34640016685430602</v>
      </c>
      <c r="P103" s="57">
        <f>60*M103/Steuerung!$D$1</f>
        <v>0.14587354663230334</v>
      </c>
      <c r="Q103" s="103">
        <f t="shared" si="18"/>
        <v>2.733951370377004</v>
      </c>
      <c r="R103" s="57">
        <f t="shared" si="19"/>
        <v>1.1108886389099679</v>
      </c>
      <c r="S103" s="57">
        <f t="shared" si="20"/>
        <v>1.6230627314670363</v>
      </c>
    </row>
    <row r="104" spans="1:19">
      <c r="A104" s="64">
        <v>88</v>
      </c>
      <c r="B104" s="64">
        <v>0</v>
      </c>
      <c r="C104" s="103">
        <f>B104*Steuerung!$D$1/(Steuerung!$D$4*60)</f>
        <v>0</v>
      </c>
      <c r="D104" s="103">
        <f t="shared" si="11"/>
        <v>-5.9053642772457637</v>
      </c>
      <c r="E104" s="103">
        <f t="shared" si="12"/>
        <v>9.1257832703934767</v>
      </c>
      <c r="F104" s="103">
        <f>E104*Steuerung!$C$9</f>
        <v>9.1257832703934769E-2</v>
      </c>
      <c r="G104" s="103">
        <f t="shared" si="13"/>
        <v>0.73006266163147815</v>
      </c>
      <c r="H104" s="64">
        <v>0</v>
      </c>
      <c r="I104" s="103">
        <f t="shared" si="14"/>
        <v>0</v>
      </c>
      <c r="J104" s="117">
        <f t="shared" si="15"/>
        <v>-1.5234728974767457</v>
      </c>
      <c r="K104" s="103">
        <f t="shared" si="21"/>
        <v>-1.0964523324860538</v>
      </c>
      <c r="L104" s="103">
        <f t="shared" si="16"/>
        <v>37.10930911821238</v>
      </c>
      <c r="M104" s="103">
        <f t="shared" si="17"/>
        <v>5.9053642772457637</v>
      </c>
      <c r="N104" s="118">
        <f>J104/Steuerung!$D$4</f>
        <v>-6.3478037394864406E-2</v>
      </c>
      <c r="O104" s="103">
        <f>K104/Steuerung!$D$2</f>
        <v>-0.36548411082868459</v>
      </c>
      <c r="P104" s="57">
        <f>60*M104/Steuerung!$D$1</f>
        <v>0.11810728554491527</v>
      </c>
      <c r="Q104" s="103">
        <f t="shared" si="18"/>
        <v>2.7259647012878849</v>
      </c>
      <c r="R104" s="57">
        <f t="shared" si="19"/>
        <v>1.3509606507317937</v>
      </c>
      <c r="S104" s="57">
        <f t="shared" si="20"/>
        <v>1.3750040505560912</v>
      </c>
    </row>
    <row r="105" spans="1:19">
      <c r="A105" s="64">
        <v>89</v>
      </c>
      <c r="B105" s="64">
        <v>0</v>
      </c>
      <c r="C105" s="103">
        <f>B105*Steuerung!$D$1/(Steuerung!$D$4*60)</f>
        <v>0</v>
      </c>
      <c r="D105" s="103">
        <f t="shared" si="11"/>
        <v>-4.5627657149573988</v>
      </c>
      <c r="E105" s="103">
        <f t="shared" si="12"/>
        <v>4.5630175554360779</v>
      </c>
      <c r="F105" s="103">
        <f>E105*Steuerung!$C$9</f>
        <v>4.5630175554360781E-2</v>
      </c>
      <c r="G105" s="103">
        <f t="shared" si="13"/>
        <v>0.36504140443488625</v>
      </c>
      <c r="H105" s="64">
        <v>0</v>
      </c>
      <c r="I105" s="103">
        <f t="shared" si="14"/>
        <v>0</v>
      </c>
      <c r="J105" s="117">
        <f t="shared" si="15"/>
        <v>-1.8086046441467629</v>
      </c>
      <c r="K105" s="103">
        <f t="shared" si="21"/>
        <v>-1.0603482554459964</v>
      </c>
      <c r="L105" s="103">
        <f t="shared" si="16"/>
        <v>28.672419752792294</v>
      </c>
      <c r="M105" s="103">
        <f t="shared" si="17"/>
        <v>4.5627657149573988</v>
      </c>
      <c r="N105" s="118">
        <f>J105/Steuerung!$D$4</f>
        <v>-7.535852683944845E-2</v>
      </c>
      <c r="O105" s="103">
        <f>K105/Steuerung!$D$2</f>
        <v>-0.35344941848199879</v>
      </c>
      <c r="P105" s="57">
        <f>60*M105/Steuerung!$D$1</f>
        <v>9.1255314299147988E-2</v>
      </c>
      <c r="Q105" s="103">
        <f t="shared" si="18"/>
        <v>2.5386673057782412</v>
      </c>
      <c r="R105" s="57">
        <f t="shared" si="19"/>
        <v>1.4253880322318699</v>
      </c>
      <c r="S105" s="57">
        <f t="shared" si="20"/>
        <v>1.1132792735463715</v>
      </c>
    </row>
    <row r="106" spans="1:19">
      <c r="A106" s="64">
        <v>90</v>
      </c>
      <c r="B106" s="64">
        <v>0</v>
      </c>
      <c r="C106" s="103">
        <f>B106*Steuerung!$D$1/(Steuerung!$D$4*60)</f>
        <v>0</v>
      </c>
      <c r="D106" s="103">
        <f t="shared" si="11"/>
        <v>-3.3443934430062221</v>
      </c>
      <c r="E106" s="103">
        <f t="shared" si="12"/>
        <v>1.2186241124298558</v>
      </c>
      <c r="F106" s="103">
        <f>E106*Steuerung!$C$9</f>
        <v>1.2186241124298558E-2</v>
      </c>
      <c r="G106" s="103">
        <f t="shared" si="13"/>
        <v>9.7489928994388464E-2</v>
      </c>
      <c r="H106" s="64">
        <v>0</v>
      </c>
      <c r="I106" s="103">
        <f t="shared" si="14"/>
        <v>0</v>
      </c>
      <c r="J106" s="117">
        <f t="shared" si="15"/>
        <v>-1.8735839202286781</v>
      </c>
      <c r="K106" s="103">
        <f t="shared" si="21"/>
        <v>-0.96223767054036935</v>
      </c>
      <c r="L106" s="103">
        <f t="shared" si="16"/>
        <v>21.0161683958511</v>
      </c>
      <c r="M106" s="103">
        <f t="shared" si="17"/>
        <v>3.3443934430062221</v>
      </c>
      <c r="N106" s="118">
        <f>J106/Steuerung!$D$4</f>
        <v>-7.8065996676194918E-2</v>
      </c>
      <c r="O106" s="103">
        <f>K106/Steuerung!$D$2</f>
        <v>-0.32074589018012312</v>
      </c>
      <c r="P106" s="57">
        <f>60*M106/Steuerung!$D$1</f>
        <v>6.6887868860124433E-2</v>
      </c>
      <c r="Q106" s="103">
        <f t="shared" si="18"/>
        <v>2.2386253246635643</v>
      </c>
      <c r="R106" s="57">
        <f t="shared" si="19"/>
        <v>1.3784527320797955</v>
      </c>
      <c r="S106" s="57">
        <f t="shared" si="20"/>
        <v>0.86017259258376877</v>
      </c>
    </row>
    <row r="107" spans="1:19">
      <c r="A107" s="64">
        <v>91</v>
      </c>
      <c r="B107" s="64">
        <v>0</v>
      </c>
      <c r="C107" s="103">
        <f>B107*Steuerung!$D$1/(Steuerung!$D$4*60)</f>
        <v>0</v>
      </c>
      <c r="D107" s="103">
        <f t="shared" si="11"/>
        <v>-2.2952178121813387</v>
      </c>
      <c r="E107" s="103">
        <f t="shared" si="12"/>
        <v>-1.0765936997514829</v>
      </c>
      <c r="F107" s="103">
        <f>E107*Steuerung!$C$9</f>
        <v>-1.076593699751483E-2</v>
      </c>
      <c r="G107" s="103">
        <f t="shared" si="13"/>
        <v>-8.6127495980118637E-2</v>
      </c>
      <c r="H107" s="64">
        <v>0</v>
      </c>
      <c r="I107" s="103">
        <f t="shared" si="14"/>
        <v>0</v>
      </c>
      <c r="J107" s="117">
        <f t="shared" si="15"/>
        <v>-1.7839040945836246</v>
      </c>
      <c r="K107" s="103">
        <f t="shared" si="21"/>
        <v>-0.82861071138453657</v>
      </c>
      <c r="L107" s="103">
        <f t="shared" si="16"/>
        <v>14.423148731747531</v>
      </c>
      <c r="M107" s="103">
        <f t="shared" si="17"/>
        <v>2.2952178121813387</v>
      </c>
      <c r="N107" s="118">
        <f>J107/Steuerung!$D$4</f>
        <v>-7.4329337274317689E-2</v>
      </c>
      <c r="O107" s="103">
        <f>K107/Steuerung!$D$2</f>
        <v>-0.27620357046151217</v>
      </c>
      <c r="P107" s="57">
        <f>60*M107/Steuerung!$D$1</f>
        <v>4.5904356243626772E-2</v>
      </c>
      <c r="Q107" s="103">
        <f t="shared" si="18"/>
        <v>1.8813940235780131</v>
      </c>
      <c r="R107" s="57">
        <f t="shared" si="19"/>
        <v>1.2509089717024802</v>
      </c>
      <c r="S107" s="57">
        <f t="shared" si="20"/>
        <v>0.63048505187553294</v>
      </c>
    </row>
    <row r="108" spans="1:19">
      <c r="A108" s="64">
        <v>92</v>
      </c>
      <c r="B108" s="64">
        <v>0</v>
      </c>
      <c r="C108" s="103">
        <f>B108*Steuerung!$D$1/(Steuerung!$D$4*60)</f>
        <v>0</v>
      </c>
      <c r="D108" s="103">
        <f t="shared" si="11"/>
        <v>-1.4337961463018492</v>
      </c>
      <c r="E108" s="103">
        <f t="shared" si="12"/>
        <v>-2.5103898460533323</v>
      </c>
      <c r="F108" s="103">
        <f>E108*Steuerung!$C$9</f>
        <v>-2.5103898460533323E-2</v>
      </c>
      <c r="G108" s="103">
        <f t="shared" si="13"/>
        <v>-0.20083118768426658</v>
      </c>
      <c r="H108" s="64">
        <v>0</v>
      </c>
      <c r="I108" s="103">
        <f t="shared" si="14"/>
        <v>0</v>
      </c>
      <c r="J108" s="117">
        <f t="shared" si="15"/>
        <v>-1.5960158827324422</v>
      </c>
      <c r="K108" s="103">
        <f t="shared" si="21"/>
        <v>-0.68032767669724203</v>
      </c>
      <c r="L108" s="103">
        <f t="shared" si="16"/>
        <v>9.00997498336082</v>
      </c>
      <c r="M108" s="103">
        <f t="shared" si="17"/>
        <v>1.4337961463018492</v>
      </c>
      <c r="N108" s="118">
        <f>J108/Steuerung!$D$4</f>
        <v>-6.650066178051843E-2</v>
      </c>
      <c r="O108" s="103">
        <f>K108/Steuerung!$D$2</f>
        <v>-0.22677589223241401</v>
      </c>
      <c r="P108" s="57">
        <f>60*M108/Steuerung!$D$1</f>
        <v>2.8675922926036986E-2</v>
      </c>
      <c r="Q108" s="103">
        <f t="shared" si="18"/>
        <v>1.5098883867523236</v>
      </c>
      <c r="R108" s="57">
        <f t="shared" si="19"/>
        <v>1.0771939247998976</v>
      </c>
      <c r="S108" s="57">
        <f t="shared" si="20"/>
        <v>0.43269446195242595</v>
      </c>
    </row>
    <row r="109" spans="1:19">
      <c r="A109" s="64">
        <v>93</v>
      </c>
      <c r="B109" s="64">
        <v>0</v>
      </c>
      <c r="C109" s="103">
        <f>B109*Steuerung!$D$1/(Steuerung!$D$4*60)</f>
        <v>0</v>
      </c>
      <c r="D109" s="103">
        <f t="shared" si="11"/>
        <v>-0.75929544652740177</v>
      </c>
      <c r="E109" s="103">
        <f t="shared" si="12"/>
        <v>-3.2696852925807338</v>
      </c>
      <c r="F109" s="103">
        <f>E109*Steuerung!$C$9</f>
        <v>-3.2696852925807339E-2</v>
      </c>
      <c r="G109" s="103">
        <f t="shared" si="13"/>
        <v>-0.26157482340645871</v>
      </c>
      <c r="H109" s="64">
        <v>0</v>
      </c>
      <c r="I109" s="103">
        <f t="shared" si="14"/>
        <v>0</v>
      </c>
      <c r="J109" s="117">
        <f t="shared" si="15"/>
        <v>-1.3555564168915057</v>
      </c>
      <c r="K109" s="103">
        <f t="shared" si="21"/>
        <v>-0.53270252210304858</v>
      </c>
      <c r="L109" s="103">
        <f t="shared" si="16"/>
        <v>4.7714125859781928</v>
      </c>
      <c r="M109" s="103">
        <f t="shared" si="17"/>
        <v>0.75929544652740177</v>
      </c>
      <c r="N109" s="118">
        <f>J109/Steuerung!$D$4</f>
        <v>-5.6481517370479406E-2</v>
      </c>
      <c r="O109" s="103">
        <f>K109/Steuerung!$D$2</f>
        <v>-0.17756750736768287</v>
      </c>
      <c r="P109" s="57">
        <f>60*M109/Steuerung!$D$1</f>
        <v>1.5185908930548036E-2</v>
      </c>
      <c r="Q109" s="103">
        <f t="shared" si="18"/>
        <v>1.1547252292072392</v>
      </c>
      <c r="R109" s="57">
        <f t="shared" si="19"/>
        <v>0.88442597970641468</v>
      </c>
      <c r="S109" s="57">
        <f t="shared" si="20"/>
        <v>0.27029924950082457</v>
      </c>
    </row>
    <row r="110" spans="1:19">
      <c r="A110" s="64">
        <v>94</v>
      </c>
      <c r="B110" s="64">
        <v>0</v>
      </c>
      <c r="C110" s="103">
        <f>B110*Steuerung!$D$1/(Steuerung!$D$4*60)</f>
        <v>0</v>
      </c>
      <c r="D110" s="103">
        <f t="shared" si="11"/>
        <v>-0.25778868420058221</v>
      </c>
      <c r="E110" s="103">
        <f t="shared" si="12"/>
        <v>-3.5274739767813159</v>
      </c>
      <c r="F110" s="103">
        <f>E110*Steuerung!$C$9</f>
        <v>-3.527473976781316E-2</v>
      </c>
      <c r="G110" s="103">
        <f t="shared" si="13"/>
        <v>-0.28219791814250528</v>
      </c>
      <c r="H110" s="64">
        <v>0</v>
      </c>
      <c r="I110" s="103">
        <f t="shared" si="14"/>
        <v>0</v>
      </c>
      <c r="J110" s="117">
        <f t="shared" si="15"/>
        <v>-1.0972304797197676</v>
      </c>
      <c r="K110" s="103">
        <f t="shared" si="21"/>
        <v>-0.39607656038395073</v>
      </c>
      <c r="L110" s="103">
        <f t="shared" si="16"/>
        <v>1.6199440915164587</v>
      </c>
      <c r="M110" s="103">
        <f t="shared" si="17"/>
        <v>0.25778868420058221</v>
      </c>
      <c r="N110" s="118">
        <f>J110/Steuerung!$D$4</f>
        <v>-4.571793665499032E-2</v>
      </c>
      <c r="O110" s="103">
        <f>K110/Steuerung!$D$2</f>
        <v>-0.13202552012798358</v>
      </c>
      <c r="P110" s="57">
        <f>60*M110/Steuerung!$D$1</f>
        <v>5.155773684011644E-3</v>
      </c>
      <c r="Q110" s="103">
        <f t="shared" si="18"/>
        <v>0.83565565631330896</v>
      </c>
      <c r="R110" s="57">
        <f t="shared" si="19"/>
        <v>0.69251327873396318</v>
      </c>
      <c r="S110" s="57">
        <f t="shared" si="20"/>
        <v>0.14314237757934578</v>
      </c>
    </row>
    <row r="111" spans="1:19">
      <c r="A111" s="64">
        <v>95</v>
      </c>
      <c r="B111" s="64">
        <v>0</v>
      </c>
      <c r="C111" s="103">
        <f>B111*Steuerung!$D$1/(Steuerung!$D$4*60)</f>
        <v>0</v>
      </c>
      <c r="D111" s="103">
        <f t="shared" si="11"/>
        <v>9.2479189167386122E-2</v>
      </c>
      <c r="E111" s="103">
        <f t="shared" si="12"/>
        <v>-3.4349947876139297</v>
      </c>
      <c r="F111" s="103">
        <f>E111*Steuerung!$C$9</f>
        <v>-3.4349947876139299E-2</v>
      </c>
      <c r="G111" s="103">
        <f t="shared" si="13"/>
        <v>-0.27479958300911439</v>
      </c>
      <c r="H111" s="64">
        <v>0</v>
      </c>
      <c r="I111" s="103">
        <f t="shared" si="14"/>
        <v>0</v>
      </c>
      <c r="J111" s="117">
        <f t="shared" si="15"/>
        <v>-0.84569576938713509</v>
      </c>
      <c r="K111" s="103">
        <f t="shared" si="21"/>
        <v>-0.27663215118558526</v>
      </c>
      <c r="L111" s="103">
        <f t="shared" si="16"/>
        <v>-0.5811392247278544</v>
      </c>
      <c r="M111" s="103">
        <f t="shared" si="17"/>
        <v>-9.2479189167386122E-2</v>
      </c>
      <c r="N111" s="118">
        <f>J111/Steuerung!$D$4</f>
        <v>-3.5237323724463962E-2</v>
      </c>
      <c r="O111" s="103">
        <f>K111/Steuerung!$D$2</f>
        <v>-9.2210717061861749E-2</v>
      </c>
      <c r="P111" s="57">
        <f>60*M111/Steuerung!$D$1</f>
        <v>-1.8495837833477223E-3</v>
      </c>
      <c r="Q111" s="103">
        <f t="shared" si="18"/>
        <v>0.56349785124462981</v>
      </c>
      <c r="R111" s="57">
        <f t="shared" si="19"/>
        <v>0.51489952849913601</v>
      </c>
      <c r="S111" s="57">
        <f t="shared" si="20"/>
        <v>4.8598322745493756E-2</v>
      </c>
    </row>
    <row r="112" spans="1:19">
      <c r="A112" s="64">
        <v>96</v>
      </c>
      <c r="B112" s="64">
        <v>0</v>
      </c>
      <c r="C112" s="103">
        <f>B112*Steuerung!$D$1/(Steuerung!$D$4*60)</f>
        <v>0</v>
      </c>
      <c r="D112" s="103">
        <f t="shared" si="11"/>
        <v>0.31694791827585789</v>
      </c>
      <c r="E112" s="103">
        <f t="shared" si="12"/>
        <v>-3.1180468693380718</v>
      </c>
      <c r="F112" s="103">
        <f>E112*Steuerung!$C$9</f>
        <v>-3.118046869338072E-2</v>
      </c>
      <c r="G112" s="103">
        <f t="shared" si="13"/>
        <v>-0.24944374954704576</v>
      </c>
      <c r="H112" s="64">
        <v>0</v>
      </c>
      <c r="I112" s="103">
        <f t="shared" si="14"/>
        <v>0</v>
      </c>
      <c r="J112" s="117">
        <f t="shared" si="15"/>
        <v>-0.61698720280853969</v>
      </c>
      <c r="K112" s="103">
        <f t="shared" si="21"/>
        <v>-0.17727936853043255</v>
      </c>
      <c r="L112" s="103">
        <f t="shared" si="16"/>
        <v>-1.9917007184454909</v>
      </c>
      <c r="M112" s="103">
        <f t="shared" si="17"/>
        <v>-0.31694791827585789</v>
      </c>
      <c r="N112" s="118">
        <f>J112/Steuerung!$D$4</f>
        <v>-2.5707800117022488E-2</v>
      </c>
      <c r="O112" s="103">
        <f>K112/Steuerung!$D$2</f>
        <v>-5.9093122843477515E-2</v>
      </c>
      <c r="P112" s="57">
        <f>60*M112/Steuerung!$D$1</f>
        <v>-6.3389583655171578E-3</v>
      </c>
      <c r="Q112" s="103">
        <f t="shared" si="18"/>
        <v>0.34218761979942525</v>
      </c>
      <c r="R112" s="57">
        <f t="shared" si="19"/>
        <v>0.35962179654126086</v>
      </c>
      <c r="S112" s="57">
        <f t="shared" si="20"/>
        <v>-1.743417674183563E-2</v>
      </c>
    </row>
    <row r="113" spans="1:19">
      <c r="A113" s="64">
        <v>97</v>
      </c>
      <c r="B113" s="64">
        <v>0</v>
      </c>
      <c r="C113" s="103">
        <f>B113*Steuerung!$D$1/(Steuerung!$D$4*60)</f>
        <v>0</v>
      </c>
      <c r="D113" s="103">
        <f t="shared" si="11"/>
        <v>0.44167952820211304</v>
      </c>
      <c r="E113" s="103">
        <f t="shared" si="12"/>
        <v>-2.676367341135959</v>
      </c>
      <c r="F113" s="103">
        <f>E113*Steuerung!$C$9</f>
        <v>-2.676367341135959E-2</v>
      </c>
      <c r="G113" s="103">
        <f t="shared" si="13"/>
        <v>-0.21410938729087672</v>
      </c>
      <c r="H113" s="64">
        <v>0</v>
      </c>
      <c r="I113" s="103">
        <f t="shared" si="14"/>
        <v>0</v>
      </c>
      <c r="J113" s="117">
        <f t="shared" si="15"/>
        <v>-0.42015590708324335</v>
      </c>
      <c r="K113" s="103">
        <f t="shared" si="21"/>
        <v>-9.850967273408151E-2</v>
      </c>
      <c r="L113" s="103">
        <f t="shared" si="16"/>
        <v>-2.7755141552220781</v>
      </c>
      <c r="M113" s="103">
        <f t="shared" si="17"/>
        <v>-0.44167952820211304</v>
      </c>
      <c r="N113" s="118">
        <f>J113/Steuerung!$D$4</f>
        <v>-1.7506496128468472E-2</v>
      </c>
      <c r="O113" s="103">
        <f>K113/Steuerung!$D$2</f>
        <v>-3.283655757802717E-2</v>
      </c>
      <c r="P113" s="57">
        <f>60*M113/Steuerung!$D$1</f>
        <v>-8.8335905640422614E-3</v>
      </c>
      <c r="Q113" s="103">
        <f t="shared" si="18"/>
        <v>0.17071215753619759</v>
      </c>
      <c r="R113" s="57">
        <f t="shared" si="19"/>
        <v>0.23046317908956232</v>
      </c>
      <c r="S113" s="57">
        <f t="shared" si="20"/>
        <v>-5.9751021553364723E-2</v>
      </c>
    </row>
    <row r="114" spans="1:19">
      <c r="A114" s="64">
        <v>98</v>
      </c>
      <c r="B114" s="64">
        <v>0</v>
      </c>
      <c r="C114" s="103">
        <f>B114*Steuerung!$D$1/(Steuerung!$D$4*60)</f>
        <v>0</v>
      </c>
      <c r="D114" s="103">
        <f t="shared" si="11"/>
        <v>0.49125701646583075</v>
      </c>
      <c r="E114" s="103">
        <f t="shared" si="12"/>
        <v>-2.185110324670128</v>
      </c>
      <c r="F114" s="103">
        <f>E114*Steuerung!$C$9</f>
        <v>-2.1851103246701281E-2</v>
      </c>
      <c r="G114" s="103">
        <f t="shared" si="13"/>
        <v>-0.17480882597361025</v>
      </c>
      <c r="H114" s="64">
        <v>0</v>
      </c>
      <c r="I114" s="103">
        <f t="shared" si="14"/>
        <v>0</v>
      </c>
      <c r="J114" s="117">
        <f t="shared" si="15"/>
        <v>-0.25890653718852036</v>
      </c>
      <c r="K114" s="103">
        <f t="shared" si="21"/>
        <v>-3.9154967587799752E-2</v>
      </c>
      <c r="L114" s="103">
        <f t="shared" si="16"/>
        <v>-3.0870590914712803</v>
      </c>
      <c r="M114" s="103">
        <f t="shared" si="17"/>
        <v>-0.49125701646583075</v>
      </c>
      <c r="N114" s="118">
        <f>J114/Steuerung!$D$4</f>
        <v>-1.0787772382855014E-2</v>
      </c>
      <c r="O114" s="103">
        <f>K114/Steuerung!$D$2</f>
        <v>-1.3051655862599917E-2</v>
      </c>
      <c r="P114" s="57">
        <f>60*M114/Steuerung!$D$1</f>
        <v>-9.8251403293166152E-3</v>
      </c>
      <c r="Q114" s="103">
        <f t="shared" si="18"/>
        <v>4.4797149897643634E-2</v>
      </c>
      <c r="R114" s="57">
        <f t="shared" si="19"/>
        <v>0.12806257455430597</v>
      </c>
      <c r="S114" s="57">
        <f t="shared" si="20"/>
        <v>-8.326542465666234E-2</v>
      </c>
    </row>
    <row r="115" spans="1:19">
      <c r="A115" s="64">
        <v>99</v>
      </c>
      <c r="B115" s="64">
        <v>0</v>
      </c>
      <c r="C115" s="103">
        <f>B115*Steuerung!$D$1/(Steuerung!$D$4*60)</f>
        <v>0</v>
      </c>
      <c r="D115" s="103">
        <f t="shared" si="11"/>
        <v>0.48748628196218768</v>
      </c>
      <c r="E115" s="103">
        <f t="shared" si="12"/>
        <v>-1.6976240427079403</v>
      </c>
      <c r="F115" s="103">
        <f>E115*Steuerung!$C$9</f>
        <v>-1.6976240427079403E-2</v>
      </c>
      <c r="G115" s="103">
        <f t="shared" si="13"/>
        <v>-0.13580992341663523</v>
      </c>
      <c r="H115" s="64">
        <v>0</v>
      </c>
      <c r="I115" s="103">
        <f t="shared" si="14"/>
        <v>0</v>
      </c>
      <c r="J115" s="117">
        <f t="shared" si="15"/>
        <v>-0.13309851109361151</v>
      </c>
      <c r="K115" s="103">
        <f t="shared" si="21"/>
        <v>2.9780247536338226E-3</v>
      </c>
      <c r="L115" s="103">
        <f t="shared" si="16"/>
        <v>-3.0633637958503872</v>
      </c>
      <c r="M115" s="103">
        <f t="shared" si="17"/>
        <v>-0.48748628196218768</v>
      </c>
      <c r="N115" s="118">
        <f>J115/Steuerung!$D$4</f>
        <v>-5.545771295567146E-3</v>
      </c>
      <c r="O115" s="103">
        <f>K115/Steuerung!$D$2</f>
        <v>9.9267491787794078E-4</v>
      </c>
      <c r="P115" s="57">
        <f>60*M115/Steuerung!$D$1</f>
        <v>-9.7497256392437542E-3</v>
      </c>
      <c r="Q115" s="103">
        <f t="shared" si="18"/>
        <v>-4.1710314879998732E-2</v>
      </c>
      <c r="R115" s="57">
        <f t="shared" si="19"/>
        <v>5.0901457864139681E-2</v>
      </c>
      <c r="S115" s="57">
        <f t="shared" si="20"/>
        <v>-9.2611772744138413E-2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4"/>
  <sheetViews>
    <sheetView workbookViewId="0">
      <selection activeCell="K8" sqref="K8:K9"/>
    </sheetView>
  </sheetViews>
  <sheetFormatPr baseColWidth="10" defaultRowHeight="15" x14ac:dyDescent="0"/>
  <cols>
    <col min="3" max="3" width="13.1640625" customWidth="1"/>
    <col min="6" max="6" width="11.5" customWidth="1"/>
    <col min="10" max="10" width="10.83203125" style="64"/>
    <col min="14" max="14" width="12" customWidth="1"/>
  </cols>
  <sheetData>
    <row r="1" spans="1:19">
      <c r="A1" t="s">
        <v>134</v>
      </c>
      <c r="F1" t="s">
        <v>135</v>
      </c>
      <c r="G1" t="s">
        <v>136</v>
      </c>
      <c r="I1" t="s">
        <v>88</v>
      </c>
      <c r="J1" s="65" t="s">
        <v>90</v>
      </c>
      <c r="K1" s="22">
        <f>Steuerung!I4</f>
        <v>3</v>
      </c>
      <c r="L1" s="4" t="s">
        <v>93</v>
      </c>
      <c r="N1" t="s">
        <v>129</v>
      </c>
      <c r="S1" t="s">
        <v>118</v>
      </c>
    </row>
    <row r="2" spans="1:19">
      <c r="A2" t="s">
        <v>85</v>
      </c>
      <c r="F2" t="s">
        <v>86</v>
      </c>
      <c r="G2" t="s">
        <v>87</v>
      </c>
      <c r="I2" t="s">
        <v>89</v>
      </c>
      <c r="J2" s="68" t="s">
        <v>82</v>
      </c>
      <c r="K2" s="63">
        <f>Steuerung!O11*0.001</f>
        <v>1E-3</v>
      </c>
      <c r="L2" s="7" t="s">
        <v>94</v>
      </c>
      <c r="N2" t="s">
        <v>128</v>
      </c>
    </row>
    <row r="3" spans="1:19">
      <c r="J3" s="68" t="s">
        <v>91</v>
      </c>
      <c r="K3" s="14">
        <f>Steuerung!I2/Steuerung!D2</f>
        <v>4.7740292807129214E-2</v>
      </c>
      <c r="L3" s="7" t="s">
        <v>95</v>
      </c>
    </row>
    <row r="4" spans="1:19">
      <c r="A4" t="s">
        <v>108</v>
      </c>
      <c r="F4" s="91" t="s">
        <v>98</v>
      </c>
      <c r="G4" s="92">
        <f>-K1/K2</f>
        <v>-3000</v>
      </c>
      <c r="H4" s="93" t="s">
        <v>35</v>
      </c>
      <c r="J4" s="68" t="s">
        <v>92</v>
      </c>
      <c r="K4" s="16">
        <f>Steuerung!I6</f>
        <v>20.946666666666665</v>
      </c>
      <c r="L4" s="7" t="s">
        <v>37</v>
      </c>
      <c r="N4" s="91" t="s">
        <v>125</v>
      </c>
      <c r="O4" s="92">
        <f>G4*D11</f>
        <v>-30</v>
      </c>
      <c r="P4" s="93"/>
    </row>
    <row r="5" spans="1:19" ht="16" thickBot="1">
      <c r="A5" t="s">
        <v>109</v>
      </c>
      <c r="C5" t="s">
        <v>112</v>
      </c>
      <c r="F5" s="94" t="s">
        <v>99</v>
      </c>
      <c r="G5" s="16">
        <f>-1/(K4*K2)</f>
        <v>-47.740292807129222</v>
      </c>
      <c r="H5" s="95" t="s">
        <v>8</v>
      </c>
      <c r="J5" s="79" t="s">
        <v>97</v>
      </c>
      <c r="K5" s="10">
        <f>Steuerung!D5*Steuerung!E5</f>
        <v>5.9999999999999995E-5</v>
      </c>
      <c r="L5" s="11" t="str">
        <f>Steuerung!F5</f>
        <v>kg m2</v>
      </c>
      <c r="N5" s="94" t="s">
        <v>120</v>
      </c>
      <c r="O5" s="16">
        <f>G5*D11</f>
        <v>-0.47740292807129225</v>
      </c>
      <c r="P5" s="95" t="s">
        <v>126</v>
      </c>
    </row>
    <row r="6" spans="1:19" ht="16" thickBot="1">
      <c r="A6" t="s">
        <v>110</v>
      </c>
      <c r="C6" t="s">
        <v>113</v>
      </c>
      <c r="F6" s="94" t="s">
        <v>100</v>
      </c>
      <c r="G6" s="96">
        <f>K3/K5</f>
        <v>795.67154678548695</v>
      </c>
      <c r="H6" s="95" t="s">
        <v>106</v>
      </c>
      <c r="J6" s="111" t="s">
        <v>117</v>
      </c>
      <c r="K6">
        <f>2*3.142</f>
        <v>6.2839999999999998</v>
      </c>
      <c r="N6" s="94" t="s">
        <v>121</v>
      </c>
      <c r="O6" s="16">
        <f>G6*D11</f>
        <v>7.9567154678548695</v>
      </c>
      <c r="P6" s="95" t="s">
        <v>105</v>
      </c>
    </row>
    <row r="7" spans="1:19">
      <c r="F7" s="94" t="s">
        <v>101</v>
      </c>
      <c r="G7" s="6">
        <v>0</v>
      </c>
      <c r="H7" s="95"/>
      <c r="J7" s="112" t="s">
        <v>137</v>
      </c>
      <c r="K7" s="105"/>
      <c r="L7" s="106"/>
      <c r="N7" s="94" t="s">
        <v>122</v>
      </c>
      <c r="O7" s="6">
        <f>G7</f>
        <v>0</v>
      </c>
      <c r="P7" s="95"/>
      <c r="R7" s="107">
        <v>0.24310000000000001</v>
      </c>
    </row>
    <row r="8" spans="1:19" ht="16" thickBot="1">
      <c r="F8" s="94" t="s">
        <v>102</v>
      </c>
      <c r="G8" s="6">
        <f>1/K2</f>
        <v>1000</v>
      </c>
      <c r="H8" s="95" t="s">
        <v>104</v>
      </c>
      <c r="J8" s="113" t="s">
        <v>138</v>
      </c>
      <c r="K8" s="107">
        <v>0.24310000000000001</v>
      </c>
      <c r="L8" s="108" t="s">
        <v>93</v>
      </c>
      <c r="N8" s="94" t="s">
        <v>123</v>
      </c>
      <c r="O8" s="6">
        <f>G8*D11</f>
        <v>10</v>
      </c>
      <c r="P8" s="95" t="s">
        <v>127</v>
      </c>
      <c r="R8" s="109">
        <f>0.9532/(2*3.142)</f>
        <v>0.15168682367918523</v>
      </c>
    </row>
    <row r="9" spans="1:19" ht="16" thickBot="1">
      <c r="F9" s="97" t="s">
        <v>103</v>
      </c>
      <c r="G9" s="98">
        <v>0</v>
      </c>
      <c r="H9" s="99"/>
      <c r="J9" s="114" t="s">
        <v>139</v>
      </c>
      <c r="K9" s="109">
        <f>0.9532/(2*3.142)</f>
        <v>0.15168682367918523</v>
      </c>
      <c r="L9" s="110" t="s">
        <v>95</v>
      </c>
      <c r="N9" s="97" t="s">
        <v>124</v>
      </c>
      <c r="O9" s="98">
        <v>0</v>
      </c>
      <c r="P9" s="99"/>
    </row>
    <row r="10" spans="1:19" ht="16" thickBot="1">
      <c r="N10" s="100" t="s">
        <v>130</v>
      </c>
      <c r="O10" s="101"/>
      <c r="P10" s="102">
        <f>1-O4-O5*O6</f>
        <v>34.798559262184057</v>
      </c>
    </row>
    <row r="11" spans="1:19" ht="16" thickBot="1">
      <c r="A11" s="18" t="s">
        <v>16</v>
      </c>
      <c r="B11" s="19"/>
      <c r="C11" s="19" t="s">
        <v>111</v>
      </c>
      <c r="D11" s="19">
        <v>0.01</v>
      </c>
      <c r="E11" s="25" t="s">
        <v>34</v>
      </c>
      <c r="F11" s="19" t="s">
        <v>69</v>
      </c>
      <c r="G11" s="19"/>
      <c r="H11" s="26"/>
    </row>
    <row r="13" spans="1:19">
      <c r="A13" s="64" t="s">
        <v>17</v>
      </c>
      <c r="B13" s="64" t="s">
        <v>141</v>
      </c>
      <c r="C13" s="104" t="s">
        <v>144</v>
      </c>
      <c r="D13" s="64" t="s">
        <v>114</v>
      </c>
      <c r="E13" s="64" t="s">
        <v>115</v>
      </c>
      <c r="F13" s="64" t="s">
        <v>116</v>
      </c>
      <c r="G13" s="64" t="s">
        <v>131</v>
      </c>
      <c r="H13" s="64" t="s">
        <v>132</v>
      </c>
      <c r="I13" s="64" t="s">
        <v>133</v>
      </c>
      <c r="J13" s="104" t="s">
        <v>140</v>
      </c>
      <c r="K13" s="104" t="s">
        <v>142</v>
      </c>
      <c r="L13" s="104" t="s">
        <v>143</v>
      </c>
    </row>
    <row r="14" spans="1:19">
      <c r="A14" s="87">
        <v>-1</v>
      </c>
      <c r="B14" s="88">
        <v>24</v>
      </c>
      <c r="C14" s="88">
        <v>0</v>
      </c>
      <c r="D14" s="88">
        <v>0</v>
      </c>
      <c r="E14" s="88">
        <v>50</v>
      </c>
      <c r="F14" s="88"/>
      <c r="G14" s="88">
        <f>C14/Steuerung!$D$4</f>
        <v>0</v>
      </c>
      <c r="H14" s="89" t="s">
        <v>119</v>
      </c>
      <c r="I14" s="115"/>
      <c r="J14" s="116">
        <v>0</v>
      </c>
    </row>
    <row r="15" spans="1:19">
      <c r="A15" s="64">
        <v>0</v>
      </c>
      <c r="B15" s="64">
        <v>0</v>
      </c>
      <c r="C15" s="117">
        <f>B15-J15</f>
        <v>-7.5843411839592614</v>
      </c>
      <c r="D15" s="103">
        <f>(D14 +$O$8*C15 +$O$5*E14)/$P$10</f>
        <v>-2.8654507645526852</v>
      </c>
      <c r="E15" s="103">
        <f>$O$6*D15+E14</f>
        <v>27.200423579307088</v>
      </c>
      <c r="F15" s="103">
        <f>E15/$K$6</f>
        <v>4.3285206205135403</v>
      </c>
      <c r="G15" s="64">
        <f>C15/Steuerung!$D$4</f>
        <v>-0.31601421599830254</v>
      </c>
      <c r="H15" s="103">
        <f>D15/Steuerung!$D$2</f>
        <v>-0.95515025485089511</v>
      </c>
      <c r="I15" s="57">
        <f>60*F15/Steuerung!$D$1</f>
        <v>8.6570412410270803E-2</v>
      </c>
      <c r="J15" s="103">
        <f>K15+L15</f>
        <v>7.5843411839592614</v>
      </c>
      <c r="K15" s="57">
        <f>$K$8*D14</f>
        <v>0</v>
      </c>
      <c r="L15" s="57">
        <f>$K$9*E14</f>
        <v>7.5843411839592614</v>
      </c>
    </row>
    <row r="16" spans="1:19">
      <c r="A16" s="64">
        <v>1</v>
      </c>
      <c r="B16" s="64">
        <v>0</v>
      </c>
      <c r="C16" s="117">
        <f t="shared" ref="C16:C79" si="0">B16-J16</f>
        <v>-3.4293547746107489</v>
      </c>
      <c r="D16" s="103">
        <f>(D15 +$O$8*C16 +$O$5*E15)/$P$10</f>
        <v>-1.4409953008225085</v>
      </c>
      <c r="E16" s="103">
        <f t="shared" ref="E16:E79" si="1">$O$6*D16+E15</f>
        <v>15.734833980146455</v>
      </c>
      <c r="F16" s="103">
        <f t="shared" ref="F16:F79" si="2">E16/$K$6</f>
        <v>2.5039519382791942</v>
      </c>
      <c r="G16" s="118">
        <f>C16/Steuerung!$D$4</f>
        <v>-0.14288978227544788</v>
      </c>
      <c r="H16" s="103">
        <f>D16/Steuerung!$D$2</f>
        <v>-0.48033176694083618</v>
      </c>
      <c r="I16" s="57">
        <f>60*F16/Steuerung!$D$1</f>
        <v>5.007903876558388E-2</v>
      </c>
      <c r="J16" s="103">
        <f t="shared" ref="J16:J79" si="3">K16+L16</f>
        <v>3.4293547746107489</v>
      </c>
      <c r="K16" s="57">
        <f t="shared" ref="K16:K79" si="4">$K$8*D15</f>
        <v>-0.69659108086275778</v>
      </c>
      <c r="L16" s="57">
        <f t="shared" ref="L16:L79" si="5">$K$9*E15</f>
        <v>4.1259458554735069</v>
      </c>
    </row>
    <row r="17" spans="1:12">
      <c r="A17" s="64">
        <v>2</v>
      </c>
      <c r="B17" s="64">
        <v>0</v>
      </c>
      <c r="C17" s="117">
        <f t="shared" si="0"/>
        <v>-2.0364610299377759</v>
      </c>
      <c r="D17" s="103">
        <f t="shared" ref="D17:D80" si="6">(D16 +$O$8*C17 +$O$5*E16)/$P$10</f>
        <v>-0.84249066733338662</v>
      </c>
      <c r="E17" s="103">
        <f t="shared" si="1"/>
        <v>9.031375455851526</v>
      </c>
      <c r="F17" s="103">
        <f t="shared" si="2"/>
        <v>1.4372016957115732</v>
      </c>
      <c r="G17" s="118">
        <f>C17/Steuerung!$D$4</f>
        <v>-8.4852542914074E-2</v>
      </c>
      <c r="H17" s="103">
        <f>D17/Steuerung!$D$2</f>
        <v>-0.28083022244446221</v>
      </c>
      <c r="I17" s="57">
        <f>60*F17/Steuerung!$D$1</f>
        <v>2.8744033914231467E-2</v>
      </c>
      <c r="J17" s="103">
        <f t="shared" si="3"/>
        <v>2.0364610299377759</v>
      </c>
      <c r="K17" s="57">
        <f t="shared" si="4"/>
        <v>-0.35030595762995181</v>
      </c>
      <c r="L17" s="57">
        <f t="shared" si="5"/>
        <v>2.3867669875677278</v>
      </c>
    </row>
    <row r="18" spans="1:12">
      <c r="A18" s="64">
        <v>3</v>
      </c>
      <c r="B18" s="64">
        <v>0</v>
      </c>
      <c r="C18" s="117">
        <f t="shared" si="0"/>
        <v>-1.1651311751235254</v>
      </c>
      <c r="D18" s="103">
        <f t="shared" si="6"/>
        <v>-0.48293400249952201</v>
      </c>
      <c r="E18" s="103">
        <f t="shared" si="1"/>
        <v>5.1888070082105173</v>
      </c>
      <c r="F18" s="103">
        <f t="shared" si="2"/>
        <v>0.82571721963884748</v>
      </c>
      <c r="G18" s="118">
        <f>C18/Steuerung!$D$4</f>
        <v>-4.854713229681356E-2</v>
      </c>
      <c r="H18" s="103">
        <f>D18/Steuerung!$D$2</f>
        <v>-0.16097800083317401</v>
      </c>
      <c r="I18" s="57">
        <f>60*F18/Steuerung!$D$1</f>
        <v>1.651434439277695E-2</v>
      </c>
      <c r="J18" s="103">
        <f t="shared" si="3"/>
        <v>1.1651311751235254</v>
      </c>
      <c r="K18" s="57">
        <f t="shared" si="4"/>
        <v>-0.20480948122874629</v>
      </c>
      <c r="L18" s="57">
        <f t="shared" si="5"/>
        <v>1.3699406563522716</v>
      </c>
    </row>
    <row r="19" spans="1:12">
      <c r="A19" s="64">
        <v>4</v>
      </c>
      <c r="B19" s="64">
        <v>0</v>
      </c>
      <c r="C19" s="117">
        <f t="shared" si="0"/>
        <v>-0.66967239775211551</v>
      </c>
      <c r="D19" s="103">
        <f t="shared" si="6"/>
        <v>-0.27750601874576375</v>
      </c>
      <c r="E19" s="103">
        <f t="shared" si="1"/>
        <v>2.9807705764332755</v>
      </c>
      <c r="F19" s="103">
        <f t="shared" si="2"/>
        <v>0.47434286703266637</v>
      </c>
      <c r="G19" s="118">
        <f>C19/Steuerung!$D$4</f>
        <v>-2.7903016573004813E-2</v>
      </c>
      <c r="H19" s="103">
        <f>D19/Steuerung!$D$2</f>
        <v>-9.2502006248587912E-2</v>
      </c>
      <c r="I19" s="57">
        <f>60*F19/Steuerung!$D$1</f>
        <v>9.486857340653328E-3</v>
      </c>
      <c r="J19" s="103">
        <f t="shared" si="3"/>
        <v>0.66967239775211551</v>
      </c>
      <c r="K19" s="57">
        <f t="shared" si="4"/>
        <v>-0.11740125600763381</v>
      </c>
      <c r="L19" s="57">
        <f t="shared" si="5"/>
        <v>0.78707365375974936</v>
      </c>
    </row>
    <row r="20" spans="1:12">
      <c r="A20" s="64">
        <v>5</v>
      </c>
      <c r="B20" s="64">
        <v>0</v>
      </c>
      <c r="C20" s="117">
        <f t="shared" si="0"/>
        <v>-0.38468190769844246</v>
      </c>
      <c r="D20" s="103">
        <f t="shared" si="6"/>
        <v>-0.15941331521895943</v>
      </c>
      <c r="E20" s="103">
        <f t="shared" si="1"/>
        <v>1.712364185448557</v>
      </c>
      <c r="F20" s="103">
        <f t="shared" si="2"/>
        <v>0.27249589201918478</v>
      </c>
      <c r="G20" s="118">
        <f>C20/Steuerung!$D$4</f>
        <v>-1.6028412820768435E-2</v>
      </c>
      <c r="H20" s="103">
        <f>D20/Steuerung!$D$2</f>
        <v>-5.3137771739653145E-2</v>
      </c>
      <c r="I20" s="57">
        <f>60*F20/Steuerung!$D$1</f>
        <v>5.4499178403836952E-3</v>
      </c>
      <c r="J20" s="103">
        <f t="shared" si="3"/>
        <v>0.38468190769844246</v>
      </c>
      <c r="K20" s="57">
        <f t="shared" si="4"/>
        <v>-6.7461713157095177E-2</v>
      </c>
      <c r="L20" s="57">
        <f t="shared" si="5"/>
        <v>0.45214362085553761</v>
      </c>
    </row>
    <row r="21" spans="1:12">
      <c r="A21" s="64">
        <v>6</v>
      </c>
      <c r="B21" s="64">
        <v>0</v>
      </c>
      <c r="C21" s="117">
        <f t="shared" si="0"/>
        <v>-0.22098970734295784</v>
      </c>
      <c r="D21" s="103">
        <f t="shared" si="6"/>
        <v>-9.157844842643291E-2</v>
      </c>
      <c r="E21" s="103">
        <f t="shared" si="1"/>
        <v>0.98370052833180877</v>
      </c>
      <c r="F21" s="103">
        <f t="shared" si="2"/>
        <v>0.15654050419029419</v>
      </c>
      <c r="G21" s="118">
        <f>C21/Steuerung!$D$4</f>
        <v>-9.2079044726232438E-3</v>
      </c>
      <c r="H21" s="103">
        <f>D21/Steuerung!$D$2</f>
        <v>-3.0526149475477635E-2</v>
      </c>
      <c r="I21" s="57">
        <f>60*F21/Steuerung!$D$1</f>
        <v>3.130810083805884E-3</v>
      </c>
      <c r="J21" s="103">
        <f t="shared" si="3"/>
        <v>0.22098970734295784</v>
      </c>
      <c r="K21" s="57">
        <f t="shared" si="4"/>
        <v>-3.8753376929729043E-2</v>
      </c>
      <c r="L21" s="57">
        <f t="shared" si="5"/>
        <v>0.25974308427268689</v>
      </c>
    </row>
    <row r="22" spans="1:12">
      <c r="A22" s="64">
        <v>7</v>
      </c>
      <c r="B22" s="64">
        <v>0</v>
      </c>
      <c r="C22" s="117">
        <f t="shared" si="0"/>
        <v>-0.12695168778172261</v>
      </c>
      <c r="D22" s="103">
        <f t="shared" si="6"/>
        <v>-5.2608983751922168E-2</v>
      </c>
      <c r="E22" s="103">
        <f t="shared" si="1"/>
        <v>0.56510581356476419</v>
      </c>
      <c r="F22" s="103">
        <f t="shared" si="2"/>
        <v>8.9927723355309394E-2</v>
      </c>
      <c r="G22" s="118">
        <f>C22/Steuerung!$D$4</f>
        <v>-5.2896536575717757E-3</v>
      </c>
      <c r="H22" s="103">
        <f>D22/Steuerung!$D$2</f>
        <v>-1.7536327917307391E-2</v>
      </c>
      <c r="I22" s="57">
        <f>60*F22/Steuerung!$D$1</f>
        <v>1.7985544671061881E-3</v>
      </c>
      <c r="J22" s="103">
        <f t="shared" si="3"/>
        <v>0.12695168778172261</v>
      </c>
      <c r="K22" s="57">
        <f t="shared" si="4"/>
        <v>-2.2262720812465841E-2</v>
      </c>
      <c r="L22" s="57">
        <f t="shared" si="5"/>
        <v>0.14921440859418844</v>
      </c>
    </row>
    <row r="23" spans="1:12">
      <c r="A23" s="64">
        <v>8</v>
      </c>
      <c r="B23" s="64">
        <v>0</v>
      </c>
      <c r="C23" s="117">
        <f t="shared" si="0"/>
        <v>-7.2929861952188632E-2</v>
      </c>
      <c r="D23" s="103">
        <f t="shared" si="6"/>
        <v>-3.0222250450541485E-2</v>
      </c>
      <c r="E23" s="103">
        <f t="shared" si="1"/>
        <v>0.32463596593155697</v>
      </c>
      <c r="F23" s="103">
        <f t="shared" si="2"/>
        <v>5.1660720230992517E-2</v>
      </c>
      <c r="G23" s="118">
        <f>C23/Steuerung!$D$4</f>
        <v>-3.0387442480078598E-3</v>
      </c>
      <c r="H23" s="103">
        <f>D23/Steuerung!$D$2</f>
        <v>-1.0074083483513829E-2</v>
      </c>
      <c r="I23" s="57">
        <f>60*F23/Steuerung!$D$1</f>
        <v>1.0332144046198504E-3</v>
      </c>
      <c r="J23" s="103">
        <f t="shared" si="3"/>
        <v>7.2929861952188632E-2</v>
      </c>
      <c r="K23" s="57">
        <f t="shared" si="4"/>
        <v>-1.278924395009228E-2</v>
      </c>
      <c r="L23" s="57">
        <f t="shared" si="5"/>
        <v>8.5719105902280907E-2</v>
      </c>
    </row>
    <row r="24" spans="1:12">
      <c r="A24" s="64">
        <v>9</v>
      </c>
      <c r="B24" s="64">
        <v>0</v>
      </c>
      <c r="C24" s="117">
        <f t="shared" si="0"/>
        <v>-4.1895969439655435E-2</v>
      </c>
      <c r="D24" s="103">
        <f t="shared" si="6"/>
        <v>-1.7361756301118608E-2</v>
      </c>
      <c r="E24" s="103">
        <f t="shared" si="1"/>
        <v>0.1864934110213198</v>
      </c>
      <c r="F24" s="103">
        <f t="shared" si="2"/>
        <v>2.9677500162527022E-2</v>
      </c>
      <c r="G24" s="118">
        <f>C24/Steuerung!$D$4</f>
        <v>-1.7456653933189765E-3</v>
      </c>
      <c r="H24" s="103">
        <f>D24/Steuerung!$D$2</f>
        <v>-5.7872521003728694E-3</v>
      </c>
      <c r="I24" s="57">
        <f>60*F24/Steuerung!$D$1</f>
        <v>5.9355000325054044E-4</v>
      </c>
      <c r="J24" s="103">
        <f t="shared" si="3"/>
        <v>4.1895969439655435E-2</v>
      </c>
      <c r="K24" s="57">
        <f t="shared" si="4"/>
        <v>-7.3470290845266354E-3</v>
      </c>
      <c r="L24" s="57">
        <f t="shared" si="5"/>
        <v>4.9242998524182069E-2</v>
      </c>
    </row>
    <row r="25" spans="1:12">
      <c r="A25" s="64">
        <v>10</v>
      </c>
      <c r="B25" s="64">
        <v>0</v>
      </c>
      <c r="C25" s="117">
        <f t="shared" si="0"/>
        <v>-2.4067950198118825E-2</v>
      </c>
      <c r="D25" s="103">
        <f t="shared" si="6"/>
        <v>-9.9737967929912682E-3</v>
      </c>
      <c r="E25" s="103">
        <f t="shared" si="1"/>
        <v>0.10713474780528488</v>
      </c>
      <c r="F25" s="103">
        <f t="shared" si="2"/>
        <v>1.7048814100140815E-2</v>
      </c>
      <c r="G25" s="118">
        <f>C25/Steuerung!$D$4</f>
        <v>-1.0028312582549511E-3</v>
      </c>
      <c r="H25" s="103">
        <f>D25/Steuerung!$D$2</f>
        <v>-3.3245989309970895E-3</v>
      </c>
      <c r="I25" s="57">
        <f>60*F25/Steuerung!$D$1</f>
        <v>3.4097628200281628E-4</v>
      </c>
      <c r="J25" s="103">
        <f t="shared" si="3"/>
        <v>2.4067950198118825E-2</v>
      </c>
      <c r="K25" s="57">
        <f t="shared" si="4"/>
        <v>-4.2206429568019338E-3</v>
      </c>
      <c r="L25" s="57">
        <f t="shared" si="5"/>
        <v>2.8288593154920758E-2</v>
      </c>
    </row>
    <row r="26" spans="1:12">
      <c r="A26" s="64">
        <v>11</v>
      </c>
      <c r="B26" s="64">
        <v>0</v>
      </c>
      <c r="C26" s="117">
        <f t="shared" si="0"/>
        <v>-1.3826299599878049E-2</v>
      </c>
      <c r="D26" s="103">
        <f t="shared" si="6"/>
        <v>-5.7296405172976789E-3</v>
      </c>
      <c r="E26" s="103">
        <f t="shared" si="1"/>
        <v>6.1545628476054465E-2</v>
      </c>
      <c r="F26" s="103">
        <f t="shared" si="2"/>
        <v>9.7940210814854347E-3</v>
      </c>
      <c r="G26" s="118">
        <f>C26/Steuerung!$D$4</f>
        <v>-5.7609581666158535E-4</v>
      </c>
      <c r="H26" s="103">
        <f>D26/Steuerung!$D$2</f>
        <v>-1.9098801724325596E-3</v>
      </c>
      <c r="I26" s="57">
        <f>60*F26/Steuerung!$D$1</f>
        <v>1.9588042162970869E-4</v>
      </c>
      <c r="J26" s="103">
        <f t="shared" si="3"/>
        <v>1.3826299599878049E-2</v>
      </c>
      <c r="K26" s="57">
        <f t="shared" si="4"/>
        <v>-2.4246300003761775E-3</v>
      </c>
      <c r="L26" s="57">
        <f t="shared" si="5"/>
        <v>1.6250929600254226E-2</v>
      </c>
    </row>
    <row r="27" spans="1:12">
      <c r="A27" s="64">
        <v>12</v>
      </c>
      <c r="B27" s="64">
        <v>0</v>
      </c>
      <c r="C27" s="117">
        <f t="shared" si="0"/>
        <v>-7.9427852851168494E-3</v>
      </c>
      <c r="D27" s="103">
        <f t="shared" si="6"/>
        <v>-3.2915028392394899E-3</v>
      </c>
      <c r="E27" s="103">
        <f t="shared" si="1"/>
        <v>3.5356076922589394E-2</v>
      </c>
      <c r="F27" s="103">
        <f t="shared" si="2"/>
        <v>5.6263648826526723E-3</v>
      </c>
      <c r="G27" s="118">
        <f>C27/Steuerung!$D$4</f>
        <v>-3.3094938687986872E-4</v>
      </c>
      <c r="H27" s="103">
        <f>D27/Steuerung!$D$2</f>
        <v>-1.09716761307983E-3</v>
      </c>
      <c r="I27" s="57">
        <f>60*F27/Steuerung!$D$1</f>
        <v>1.1252729765305345E-4</v>
      </c>
      <c r="J27" s="103">
        <f t="shared" si="3"/>
        <v>7.9427852851168494E-3</v>
      </c>
      <c r="K27" s="57">
        <f t="shared" si="4"/>
        <v>-1.3928756097550659E-3</v>
      </c>
      <c r="L27" s="57">
        <f t="shared" si="5"/>
        <v>9.3356608948719152E-3</v>
      </c>
    </row>
    <row r="28" spans="1:12">
      <c r="A28" s="64">
        <v>13</v>
      </c>
      <c r="B28" s="64">
        <v>0</v>
      </c>
      <c r="C28" s="117">
        <f t="shared" si="0"/>
        <v>-4.5628866659254072E-3</v>
      </c>
      <c r="D28" s="103">
        <f t="shared" si="6"/>
        <v>-1.8908674824924872E-3</v>
      </c>
      <c r="E28" s="103">
        <f t="shared" si="1"/>
        <v>2.0310982376977624E-2</v>
      </c>
      <c r="F28" s="103">
        <f t="shared" si="2"/>
        <v>3.2321741529245107E-3</v>
      </c>
      <c r="G28" s="118">
        <f>C28/Steuerung!$D$4</f>
        <v>-1.9012027774689198E-4</v>
      </c>
      <c r="H28" s="103">
        <f>D28/Steuerung!$D$2</f>
        <v>-6.3028916083082904E-4</v>
      </c>
      <c r="I28" s="57">
        <f>60*F28/Steuerung!$D$1</f>
        <v>6.4643483058490219E-5</v>
      </c>
      <c r="J28" s="103">
        <f t="shared" si="3"/>
        <v>4.5628866659254072E-3</v>
      </c>
      <c r="K28" s="57">
        <f t="shared" si="4"/>
        <v>-8.0016434021912004E-4</v>
      </c>
      <c r="L28" s="57">
        <f t="shared" si="5"/>
        <v>5.3630510061445274E-3</v>
      </c>
    </row>
    <row r="29" spans="1:12">
      <c r="A29" s="64">
        <v>14</v>
      </c>
      <c r="B29" s="64">
        <v>0</v>
      </c>
      <c r="C29" s="117">
        <f t="shared" si="0"/>
        <v>-2.6212385175737197E-3</v>
      </c>
      <c r="D29" s="103">
        <f t="shared" si="6"/>
        <v>-1.0862454055125385E-3</v>
      </c>
      <c r="E29" s="103">
        <f t="shared" si="1"/>
        <v>1.1668036757049725E-2</v>
      </c>
      <c r="F29" s="103">
        <f t="shared" si="2"/>
        <v>1.8567849708863344E-3</v>
      </c>
      <c r="G29" s="118">
        <f>C29/Steuerung!$D$4</f>
        <v>-1.0921827156557165E-4</v>
      </c>
      <c r="H29" s="103">
        <f>D29/Steuerung!$D$2</f>
        <v>-3.6208180183751283E-4</v>
      </c>
      <c r="I29" s="57">
        <f>60*F29/Steuerung!$D$1</f>
        <v>3.7135699417726693E-5</v>
      </c>
      <c r="J29" s="103">
        <f t="shared" si="3"/>
        <v>2.6212385175737197E-3</v>
      </c>
      <c r="K29" s="57">
        <f t="shared" si="4"/>
        <v>-4.5966988499392364E-4</v>
      </c>
      <c r="L29" s="57">
        <f t="shared" si="5"/>
        <v>3.0809084025676435E-3</v>
      </c>
    </row>
    <row r="30" spans="1:12">
      <c r="A30" s="64">
        <v>15</v>
      </c>
      <c r="B30" s="64">
        <v>0</v>
      </c>
      <c r="C30" s="117">
        <f t="shared" si="0"/>
        <v>-1.5058211761687557E-3</v>
      </c>
      <c r="D30" s="103">
        <f t="shared" si="6"/>
        <v>-6.2401468739703837E-4</v>
      </c>
      <c r="E30" s="103">
        <f t="shared" si="1"/>
        <v>6.7029294416690883E-3</v>
      </c>
      <c r="F30" s="103">
        <f t="shared" si="2"/>
        <v>1.0666660473693649E-3</v>
      </c>
      <c r="G30" s="118">
        <f>C30/Steuerung!$D$4</f>
        <v>-6.274254900703149E-5</v>
      </c>
      <c r="H30" s="103">
        <f>D30/Steuerung!$D$2</f>
        <v>-2.0800489579901279E-4</v>
      </c>
      <c r="I30" s="57">
        <f>60*F30/Steuerung!$D$1</f>
        <v>2.1333320947387296E-5</v>
      </c>
      <c r="J30" s="103">
        <f t="shared" si="3"/>
        <v>1.5058211761687557E-3</v>
      </c>
      <c r="K30" s="57">
        <f t="shared" si="4"/>
        <v>-2.6406625808009812E-4</v>
      </c>
      <c r="L30" s="57">
        <f t="shared" si="5"/>
        <v>1.7698874342488538E-3</v>
      </c>
    </row>
    <row r="31" spans="1:12">
      <c r="A31" s="64">
        <v>16</v>
      </c>
      <c r="B31" s="64">
        <v>0</v>
      </c>
      <c r="C31" s="117">
        <f t="shared" si="0"/>
        <v>-8.6504810584625861E-4</v>
      </c>
      <c r="D31" s="103">
        <f t="shared" si="6"/>
        <v>-3.5847730918917318E-4</v>
      </c>
      <c r="E31" s="103">
        <f t="shared" si="1"/>
        <v>3.8506274907686017E-3</v>
      </c>
      <c r="F31" s="103">
        <f t="shared" si="2"/>
        <v>6.1276694633491434E-4</v>
      </c>
      <c r="G31" s="118">
        <f>C31/Steuerung!$D$4</f>
        <v>-3.604367107692744E-5</v>
      </c>
      <c r="H31" s="103">
        <f>D31/Steuerung!$D$2</f>
        <v>-1.1949243639639106E-4</v>
      </c>
      <c r="I31" s="57">
        <f>60*F31/Steuerung!$D$1</f>
        <v>1.2255338926698288E-5</v>
      </c>
      <c r="J31" s="103">
        <f t="shared" si="3"/>
        <v>8.6504810584625861E-4</v>
      </c>
      <c r="K31" s="57">
        <f t="shared" si="4"/>
        <v>-1.5169797050622005E-4</v>
      </c>
      <c r="L31" s="57">
        <f t="shared" si="5"/>
        <v>1.0167460763524786E-3</v>
      </c>
    </row>
    <row r="32" spans="1:12">
      <c r="A32" s="64">
        <v>17</v>
      </c>
      <c r="B32" s="64">
        <v>0</v>
      </c>
      <c r="C32" s="117">
        <f t="shared" si="0"/>
        <v>-4.9694361938255232E-4</v>
      </c>
      <c r="D32" s="103">
        <f t="shared" si="6"/>
        <v>-2.0593422526567174E-4</v>
      </c>
      <c r="E32" s="103">
        <f t="shared" si="1"/>
        <v>2.2120674552365219E-3</v>
      </c>
      <c r="F32" s="103">
        <f t="shared" si="2"/>
        <v>3.5201582674037588E-4</v>
      </c>
      <c r="G32" s="118">
        <f>C32/Steuerung!$D$4</f>
        <v>-2.070598414093968E-5</v>
      </c>
      <c r="H32" s="103">
        <f>D32/Steuerung!$D$2</f>
        <v>-6.8644741755223909E-5</v>
      </c>
      <c r="I32" s="57">
        <f>60*F32/Steuerung!$D$1</f>
        <v>7.0403165348075182E-6</v>
      </c>
      <c r="J32" s="103">
        <f t="shared" si="3"/>
        <v>4.9694361938255232E-4</v>
      </c>
      <c r="K32" s="57">
        <f t="shared" si="4"/>
        <v>-8.7145833863888007E-5</v>
      </c>
      <c r="L32" s="57">
        <f t="shared" si="5"/>
        <v>5.8408945324644036E-4</v>
      </c>
    </row>
    <row r="33" spans="1:12">
      <c r="A33" s="64">
        <v>18</v>
      </c>
      <c r="B33" s="64">
        <v>0</v>
      </c>
      <c r="C33" s="117">
        <f t="shared" si="0"/>
        <v>-2.854788758868415E-4</v>
      </c>
      <c r="D33" s="103">
        <f t="shared" si="6"/>
        <v>-1.1830289964989873E-4</v>
      </c>
      <c r="E33" s="103">
        <f t="shared" si="1"/>
        <v>1.2707649437000903E-3</v>
      </c>
      <c r="F33" s="103">
        <f t="shared" si="2"/>
        <v>2.0222230167092463E-4</v>
      </c>
      <c r="G33" s="118">
        <f>C33/Steuerung!$D$4</f>
        <v>-1.1894953161951729E-5</v>
      </c>
      <c r="H33" s="103">
        <f>D33/Steuerung!$D$2</f>
        <v>-3.9434299883299578E-5</v>
      </c>
      <c r="I33" s="57">
        <f>60*F33/Steuerung!$D$1</f>
        <v>4.0444460334184929E-6</v>
      </c>
      <c r="J33" s="103">
        <f t="shared" si="3"/>
        <v>2.854788758868415E-4</v>
      </c>
      <c r="K33" s="57">
        <f t="shared" si="4"/>
        <v>-5.0062610162084801E-5</v>
      </c>
      <c r="L33" s="57">
        <f t="shared" si="5"/>
        <v>3.3554148604892628E-4</v>
      </c>
    </row>
    <row r="34" spans="1:12">
      <c r="A34" s="64">
        <v>19</v>
      </c>
      <c r="B34" s="64">
        <v>0</v>
      </c>
      <c r="C34" s="117">
        <f t="shared" si="0"/>
        <v>-1.6399886304783494E-4</v>
      </c>
      <c r="D34" s="103">
        <f t="shared" si="6"/>
        <v>-6.7961389358755614E-5</v>
      </c>
      <c r="E34" s="103">
        <f t="shared" si="1"/>
        <v>7.300155057723721E-4</v>
      </c>
      <c r="F34" s="103">
        <f t="shared" si="2"/>
        <v>1.1617051333105858E-4</v>
      </c>
      <c r="G34" s="118">
        <f>C34/Steuerung!$D$4</f>
        <v>-6.833285960326456E-6</v>
      </c>
      <c r="H34" s="103">
        <f>D34/Steuerung!$D$2</f>
        <v>-2.2653796452918538E-5</v>
      </c>
      <c r="I34" s="57">
        <f>60*F34/Steuerung!$D$1</f>
        <v>2.3234102666211714E-6</v>
      </c>
      <c r="J34" s="103">
        <f t="shared" si="3"/>
        <v>1.6399886304783494E-4</v>
      </c>
      <c r="K34" s="57">
        <f t="shared" si="4"/>
        <v>-2.8759434904890384E-5</v>
      </c>
      <c r="L34" s="57">
        <f t="shared" si="5"/>
        <v>1.9275829795272533E-4</v>
      </c>
    </row>
    <row r="35" spans="1:12">
      <c r="A35" s="64">
        <v>20</v>
      </c>
      <c r="B35" s="64">
        <v>0</v>
      </c>
      <c r="C35" s="117">
        <f t="shared" si="0"/>
        <v>-9.4212319554051553E-5</v>
      </c>
      <c r="D35" s="103">
        <f t="shared" si="6"/>
        <v>-3.9041734879203661E-5</v>
      </c>
      <c r="E35" s="103">
        <f t="shared" si="1"/>
        <v>4.1937152996712339E-4</v>
      </c>
      <c r="F35" s="103">
        <f t="shared" si="2"/>
        <v>6.6736398785347456E-5</v>
      </c>
      <c r="G35" s="118">
        <f>C35/Steuerung!$D$4</f>
        <v>-3.9255133147521481E-6</v>
      </c>
      <c r="H35" s="103">
        <f>D35/Steuerung!$D$2</f>
        <v>-1.301391162640122E-5</v>
      </c>
      <c r="I35" s="57">
        <f>60*F35/Steuerung!$D$1</f>
        <v>1.3347279757069492E-6</v>
      </c>
      <c r="J35" s="103">
        <f t="shared" si="3"/>
        <v>9.4212319554051553E-5</v>
      </c>
      <c r="K35" s="57">
        <f t="shared" si="4"/>
        <v>-1.652141375311349E-5</v>
      </c>
      <c r="L35" s="57">
        <f t="shared" si="5"/>
        <v>1.1073373330716504E-4</v>
      </c>
    </row>
    <row r="36" spans="1:12">
      <c r="A36" s="64">
        <v>21</v>
      </c>
      <c r="B36" s="64">
        <v>0</v>
      </c>
      <c r="C36" s="117">
        <f t="shared" si="0"/>
        <v>-5.4122089573058783E-5</v>
      </c>
      <c r="D36" s="103">
        <f t="shared" si="6"/>
        <v>-2.2428279891862663E-5</v>
      </c>
      <c r="E36" s="103">
        <f t="shared" si="1"/>
        <v>2.409160884341614E-4</v>
      </c>
      <c r="F36" s="103">
        <f t="shared" si="2"/>
        <v>3.8338015345983671E-5</v>
      </c>
      <c r="G36" s="118">
        <f>C36/Steuerung!$D$4</f>
        <v>-2.255087065544116E-6</v>
      </c>
      <c r="H36" s="103">
        <f>D36/Steuerung!$D$2</f>
        <v>-7.4760932972875542E-6</v>
      </c>
      <c r="I36" s="57">
        <f>60*F36/Steuerung!$D$1</f>
        <v>7.6676030691967345E-7</v>
      </c>
      <c r="J36" s="103">
        <f t="shared" si="3"/>
        <v>5.4122089573058783E-5</v>
      </c>
      <c r="K36" s="57">
        <f t="shared" si="4"/>
        <v>-9.4910457491344098E-6</v>
      </c>
      <c r="L36" s="57">
        <f t="shared" si="5"/>
        <v>6.3613135322193191E-5</v>
      </c>
    </row>
    <row r="37" spans="1:12">
      <c r="A37" s="64">
        <v>22</v>
      </c>
      <c r="B37" s="64">
        <v>0</v>
      </c>
      <c r="C37" s="117">
        <f t="shared" si="0"/>
        <v>-3.1091481386079826E-5</v>
      </c>
      <c r="D37" s="103">
        <f t="shared" si="6"/>
        <v>-1.2884359275122238E-5</v>
      </c>
      <c r="E37" s="103">
        <f t="shared" si="1"/>
        <v>1.3839890769639691E-4</v>
      </c>
      <c r="F37" s="103">
        <f t="shared" si="2"/>
        <v>2.2024014592042795E-5</v>
      </c>
      <c r="G37" s="118">
        <f>C37/Steuerung!$D$4</f>
        <v>-1.2954783910866595E-6</v>
      </c>
      <c r="H37" s="103">
        <f>D37/Steuerung!$D$2</f>
        <v>-4.2947864250407458E-6</v>
      </c>
      <c r="I37" s="57">
        <f>60*F37/Steuerung!$D$1</f>
        <v>4.4048029184085594E-7</v>
      </c>
      <c r="J37" s="103">
        <f t="shared" si="3"/>
        <v>3.1091481386079826E-5</v>
      </c>
      <c r="K37" s="57">
        <f t="shared" si="4"/>
        <v>-5.4523148417118137E-6</v>
      </c>
      <c r="L37" s="57">
        <f t="shared" si="5"/>
        <v>3.6543796227791638E-5</v>
      </c>
    </row>
    <row r="38" spans="1:12">
      <c r="A38" s="64">
        <v>23</v>
      </c>
      <c r="B38" s="64">
        <v>0</v>
      </c>
      <c r="C38" s="117">
        <f t="shared" si="0"/>
        <v>-1.7861102969352975E-5</v>
      </c>
      <c r="D38" s="103">
        <f t="shared" si="6"/>
        <v>-7.4016694428117173E-6</v>
      </c>
      <c r="E38" s="103">
        <f t="shared" si="1"/>
        <v>7.9505929952828182E-5</v>
      </c>
      <c r="F38" s="103">
        <f t="shared" si="2"/>
        <v>1.2652121252837076E-5</v>
      </c>
      <c r="G38" s="118">
        <f>C38/Steuerung!$D$4</f>
        <v>-7.4421262372304062E-7</v>
      </c>
      <c r="H38" s="103">
        <f>D38/Steuerung!$D$2</f>
        <v>-2.4672231476039058E-6</v>
      </c>
      <c r="I38" s="57">
        <f>60*F38/Steuerung!$D$1</f>
        <v>2.5304242505674152E-7</v>
      </c>
      <c r="J38" s="103">
        <f t="shared" si="3"/>
        <v>1.7861102969352975E-5</v>
      </c>
      <c r="K38" s="57">
        <f t="shared" si="4"/>
        <v>-3.1321877397822162E-6</v>
      </c>
      <c r="L38" s="57">
        <f t="shared" si="5"/>
        <v>2.0993290709135191E-5</v>
      </c>
    </row>
    <row r="39" spans="1:12">
      <c r="A39" s="64">
        <v>24</v>
      </c>
      <c r="B39" s="64">
        <v>0</v>
      </c>
      <c r="C39" s="117">
        <f t="shared" si="0"/>
        <v>-1.0260656136656773E-5</v>
      </c>
      <c r="D39" s="103">
        <f t="shared" si="6"/>
        <v>-4.252032202053988E-6</v>
      </c>
      <c r="E39" s="103">
        <f t="shared" si="1"/>
        <v>4.5673719560928211E-5</v>
      </c>
      <c r="F39" s="103">
        <f t="shared" si="2"/>
        <v>7.2682558180980601E-6</v>
      </c>
      <c r="G39" s="118">
        <f>C39/Steuerung!$D$4</f>
        <v>-4.2752733902736557E-7</v>
      </c>
      <c r="H39" s="103">
        <f>D39/Steuerung!$D$2</f>
        <v>-1.4173440673513294E-6</v>
      </c>
      <c r="I39" s="57">
        <f>60*F39/Steuerung!$D$1</f>
        <v>1.4536511636196122E-7</v>
      </c>
      <c r="J39" s="103">
        <f t="shared" si="3"/>
        <v>1.0260656136656773E-5</v>
      </c>
      <c r="K39" s="57">
        <f t="shared" si="4"/>
        <v>-1.7993458415475285E-6</v>
      </c>
      <c r="L39" s="57">
        <f t="shared" si="5"/>
        <v>1.2060001978204301E-5</v>
      </c>
    </row>
    <row r="40" spans="1:12">
      <c r="A40" s="64">
        <v>25</v>
      </c>
      <c r="B40" s="64">
        <v>0</v>
      </c>
      <c r="C40" s="117">
        <f t="shared" si="0"/>
        <v>-5.8944324174917467E-6</v>
      </c>
      <c r="D40" s="103">
        <f t="shared" si="6"/>
        <v>-2.4426621570979007E-6</v>
      </c>
      <c r="E40" s="103">
        <f t="shared" si="1"/>
        <v>2.6238151792803602E-5</v>
      </c>
      <c r="F40" s="103">
        <f t="shared" si="2"/>
        <v>4.1753901643544877E-6</v>
      </c>
      <c r="G40" s="118">
        <f>C40/Steuerung!$D$4</f>
        <v>-2.4560135072882278E-7</v>
      </c>
      <c r="H40" s="103">
        <f>D40/Steuerung!$D$2</f>
        <v>-8.1422071903263359E-7</v>
      </c>
      <c r="I40" s="57">
        <f>60*F40/Steuerung!$D$1</f>
        <v>8.3507803287089756E-8</v>
      </c>
      <c r="J40" s="103">
        <f t="shared" si="3"/>
        <v>5.8944324174917467E-6</v>
      </c>
      <c r="K40" s="57">
        <f t="shared" si="4"/>
        <v>-1.0336690283193245E-6</v>
      </c>
      <c r="L40" s="57">
        <f t="shared" si="5"/>
        <v>6.9281014458110712E-6</v>
      </c>
    </row>
    <row r="41" spans="1:12">
      <c r="A41" s="64">
        <v>26</v>
      </c>
      <c r="B41" s="64">
        <v>0</v>
      </c>
      <c r="C41" s="117">
        <f t="shared" si="0"/>
        <v>-3.3861707342721981E-6</v>
      </c>
      <c r="D41" s="103">
        <f t="shared" si="6"/>
        <v>-1.4032345312050887E-6</v>
      </c>
      <c r="E41" s="103">
        <f t="shared" si="1"/>
        <v>1.5073013893335997E-5</v>
      </c>
      <c r="F41" s="103">
        <f t="shared" si="2"/>
        <v>2.3986336558459576E-6</v>
      </c>
      <c r="G41" s="118">
        <f>C41/Steuerung!$D$4</f>
        <v>-1.410904472613416E-7</v>
      </c>
      <c r="H41" s="103">
        <f>D41/Steuerung!$D$2</f>
        <v>-4.6774484373502954E-7</v>
      </c>
      <c r="I41" s="57">
        <f>60*F41/Steuerung!$D$1</f>
        <v>4.7972673116919148E-8</v>
      </c>
      <c r="J41" s="103">
        <f t="shared" si="3"/>
        <v>3.3861707342721981E-6</v>
      </c>
      <c r="K41" s="57">
        <f t="shared" si="4"/>
        <v>-5.9381117039049966E-7</v>
      </c>
      <c r="L41" s="57">
        <f t="shared" si="5"/>
        <v>3.9799819046626978E-6</v>
      </c>
    </row>
    <row r="42" spans="1:12">
      <c r="A42" s="64">
        <v>27</v>
      </c>
      <c r="B42" s="64">
        <v>0</v>
      </c>
      <c r="C42" s="117">
        <f t="shared" si="0"/>
        <v>-1.9452512862164096E-6</v>
      </c>
      <c r="D42" s="103">
        <f t="shared" si="6"/>
        <v>-8.0611522303427842E-7</v>
      </c>
      <c r="E42" s="103">
        <f t="shared" si="1"/>
        <v>8.6589844293458755E-6</v>
      </c>
      <c r="F42" s="103">
        <f t="shared" si="2"/>
        <v>1.3779415068978159E-6</v>
      </c>
      <c r="G42" s="118">
        <f>C42/Steuerung!$D$4</f>
        <v>-8.1052136925683735E-8</v>
      </c>
      <c r="H42" s="103">
        <f>D42/Steuerung!$D$2</f>
        <v>-2.6870507434475946E-7</v>
      </c>
      <c r="I42" s="57">
        <f>60*F42/Steuerung!$D$1</f>
        <v>2.755883013795632E-8</v>
      </c>
      <c r="J42" s="103">
        <f t="shared" si="3"/>
        <v>1.9452512862164096E-6</v>
      </c>
      <c r="K42" s="57">
        <f t="shared" si="4"/>
        <v>-3.4112631453595709E-7</v>
      </c>
      <c r="L42" s="57">
        <f t="shared" si="5"/>
        <v>2.2863776007523667E-6</v>
      </c>
    </row>
    <row r="43" spans="1:12">
      <c r="A43" s="64">
        <v>28</v>
      </c>
      <c r="B43" s="64">
        <v>0</v>
      </c>
      <c r="C43" s="117">
        <f t="shared" si="0"/>
        <v>-1.1174872336553651E-6</v>
      </c>
      <c r="D43" s="103">
        <f t="shared" si="6"/>
        <v>-4.6308848475211179E-7</v>
      </c>
      <c r="E43" s="103">
        <f t="shared" si="1"/>
        <v>4.9743211197332739E-6</v>
      </c>
      <c r="F43" s="103">
        <f t="shared" si="2"/>
        <v>7.9158515590917796E-7</v>
      </c>
      <c r="G43" s="118">
        <f>C43/Steuerung!$D$4</f>
        <v>-4.6561968068973549E-8</v>
      </c>
      <c r="H43" s="103">
        <f>D43/Steuerung!$D$2</f>
        <v>-1.5436282825070394E-7</v>
      </c>
      <c r="I43" s="57">
        <f>60*F43/Steuerung!$D$1</f>
        <v>1.5831703118183559E-8</v>
      </c>
      <c r="J43" s="103">
        <f t="shared" si="3"/>
        <v>1.1174872336553651E-6</v>
      </c>
      <c r="K43" s="57">
        <f t="shared" si="4"/>
        <v>-1.9596661071963309E-7</v>
      </c>
      <c r="L43" s="57">
        <f t="shared" si="5"/>
        <v>1.3134538443749983E-6</v>
      </c>
    </row>
    <row r="44" spans="1:12">
      <c r="A44" s="64">
        <v>29</v>
      </c>
      <c r="B44" s="64">
        <v>0</v>
      </c>
      <c r="C44" s="117">
        <f t="shared" si="0"/>
        <v>-6.4196215996939004E-7</v>
      </c>
      <c r="D44" s="103">
        <f t="shared" si="6"/>
        <v>-2.6603013884640125E-7</v>
      </c>
      <c r="E44" s="103">
        <f t="shared" si="1"/>
        <v>2.8575949990585344E-6</v>
      </c>
      <c r="F44" s="103">
        <f t="shared" si="2"/>
        <v>4.5474140659747526E-7</v>
      </c>
      <c r="G44" s="118">
        <f>C44/Steuerung!$D$4</f>
        <v>-2.6748423332057917E-8</v>
      </c>
      <c r="H44" s="103">
        <f>D44/Steuerung!$D$2</f>
        <v>-8.8676712948800417E-8</v>
      </c>
      <c r="I44" s="57">
        <f>60*F44/Steuerung!$D$1</f>
        <v>9.0948281319495049E-9</v>
      </c>
      <c r="J44" s="103">
        <f t="shared" si="3"/>
        <v>6.4196215996939004E-7</v>
      </c>
      <c r="K44" s="57">
        <f t="shared" si="4"/>
        <v>-1.1257681064323838E-7</v>
      </c>
      <c r="L44" s="57">
        <f t="shared" si="5"/>
        <v>7.5453897061262839E-7</v>
      </c>
    </row>
    <row r="45" spans="1:12">
      <c r="A45" s="64">
        <v>30</v>
      </c>
      <c r="B45" s="64">
        <v>0</v>
      </c>
      <c r="C45" s="117">
        <f t="shared" si="0"/>
        <v>-3.6878758201515323E-7</v>
      </c>
      <c r="D45" s="103">
        <f t="shared" si="6"/>
        <v>-1.5282615980511656E-7</v>
      </c>
      <c r="E45" s="103">
        <f t="shared" si="1"/>
        <v>1.6416007294443034E-6</v>
      </c>
      <c r="F45" s="103">
        <f t="shared" si="2"/>
        <v>2.6123499832022651E-7</v>
      </c>
      <c r="G45" s="118">
        <f>C45/Steuerung!$D$4</f>
        <v>-1.5366149250631386E-8</v>
      </c>
      <c r="H45" s="103">
        <f>D45/Steuerung!$D$2</f>
        <v>-5.0942053268372186E-8</v>
      </c>
      <c r="I45" s="57">
        <f>60*F45/Steuerung!$D$1</f>
        <v>5.2246999664045309E-9</v>
      </c>
      <c r="J45" s="103">
        <f t="shared" si="3"/>
        <v>3.6878758201515323E-7</v>
      </c>
      <c r="K45" s="57">
        <f t="shared" si="4"/>
        <v>-6.4671926753560143E-8</v>
      </c>
      <c r="L45" s="57">
        <f t="shared" si="5"/>
        <v>4.334595087687134E-7</v>
      </c>
    </row>
    <row r="46" spans="1:12">
      <c r="A46" s="64">
        <v>31</v>
      </c>
      <c r="B46" s="64">
        <v>0</v>
      </c>
      <c r="C46" s="117">
        <f t="shared" si="0"/>
        <v>-2.1185716095021608E-7</v>
      </c>
      <c r="D46" s="103">
        <f t="shared" si="6"/>
        <v>-8.7793944032273987E-8</v>
      </c>
      <c r="E46" s="103">
        <f t="shared" si="1"/>
        <v>9.4304929697872423E-7</v>
      </c>
      <c r="F46" s="103">
        <f t="shared" si="2"/>
        <v>1.5007149856440553E-7</v>
      </c>
      <c r="G46" s="118">
        <f>C46/Steuerung!$D$4</f>
        <v>-8.8273817062590039E-9</v>
      </c>
      <c r="H46" s="103">
        <f>D46/Steuerung!$D$2</f>
        <v>-2.9264648010757995E-8</v>
      </c>
      <c r="I46" s="57">
        <f>60*F46/Steuerung!$D$1</f>
        <v>3.001429971288111E-9</v>
      </c>
      <c r="J46" s="103">
        <f t="shared" si="3"/>
        <v>2.1185716095021608E-7</v>
      </c>
      <c r="K46" s="57">
        <f t="shared" si="4"/>
        <v>-3.7152039448623837E-8</v>
      </c>
      <c r="L46" s="57">
        <f t="shared" si="5"/>
        <v>2.490092003988399E-7</v>
      </c>
    </row>
    <row r="47" spans="1:12">
      <c r="A47" s="64">
        <v>32</v>
      </c>
      <c r="B47" s="64">
        <v>0</v>
      </c>
      <c r="C47" s="117">
        <f t="shared" si="0"/>
        <v>-1.2170544463734553E-7</v>
      </c>
      <c r="D47" s="103">
        <f t="shared" si="6"/>
        <v>-5.0434929586472572E-8</v>
      </c>
      <c r="E47" s="103">
        <f t="shared" si="1"/>
        <v>5.4175291261786672E-7</v>
      </c>
      <c r="F47" s="103">
        <f t="shared" si="2"/>
        <v>8.6211475591640158E-8</v>
      </c>
      <c r="G47" s="118">
        <f>C47/Steuerung!$D$4</f>
        <v>-5.0710601932227303E-9</v>
      </c>
      <c r="H47" s="103">
        <f>D47/Steuerung!$D$2</f>
        <v>-1.6811643195490857E-8</v>
      </c>
      <c r="I47" s="57">
        <f>60*F47/Steuerung!$D$1</f>
        <v>1.7242295118328031E-9</v>
      </c>
      <c r="J47" s="103">
        <f t="shared" si="3"/>
        <v>1.2170544463734553E-7</v>
      </c>
      <c r="K47" s="57">
        <f t="shared" si="4"/>
        <v>-2.1342707794245808E-8</v>
      </c>
      <c r="L47" s="57">
        <f t="shared" si="5"/>
        <v>1.4304815243159134E-7</v>
      </c>
    </row>
    <row r="48" spans="1:12">
      <c r="A48" s="64">
        <v>33</v>
      </c>
      <c r="B48" s="64">
        <v>0</v>
      </c>
      <c r="C48" s="117">
        <f t="shared" si="0"/>
        <v>-6.9916047151479919E-8</v>
      </c>
      <c r="D48" s="103">
        <f t="shared" si="6"/>
        <v>-2.8973321001017585E-8</v>
      </c>
      <c r="E48" s="103">
        <f t="shared" si="1"/>
        <v>3.1122044125394579E-7</v>
      </c>
      <c r="F48" s="103">
        <f t="shared" si="2"/>
        <v>4.9525849976757768E-8</v>
      </c>
      <c r="G48" s="118">
        <f>C48/Steuerung!$D$4</f>
        <v>-2.9131686313116633E-9</v>
      </c>
      <c r="H48" s="103">
        <f>D48/Steuerung!$D$2</f>
        <v>-9.6577736670058616E-9</v>
      </c>
      <c r="I48" s="57">
        <f>60*F48/Steuerung!$D$1</f>
        <v>9.9051699953515539E-10</v>
      </c>
      <c r="J48" s="103">
        <f t="shared" si="3"/>
        <v>6.9916047151479919E-8</v>
      </c>
      <c r="K48" s="57">
        <f t="shared" si="4"/>
        <v>-1.2260731382471482E-8</v>
      </c>
      <c r="L48" s="57">
        <f t="shared" si="5"/>
        <v>8.2176778533951396E-8</v>
      </c>
    </row>
    <row r="49" spans="1:12">
      <c r="A49" s="64">
        <v>34</v>
      </c>
      <c r="B49" s="64">
        <v>0</v>
      </c>
      <c r="C49" s="117">
        <f t="shared" si="0"/>
        <v>-4.0164625862498127E-8</v>
      </c>
      <c r="D49" s="103">
        <f t="shared" si="6"/>
        <v>-1.664428475881447E-8</v>
      </c>
      <c r="E49" s="103">
        <f t="shared" si="1"/>
        <v>1.7878660326210562E-7</v>
      </c>
      <c r="F49" s="103">
        <f t="shared" si="2"/>
        <v>2.8451082632416554E-8</v>
      </c>
      <c r="G49" s="118">
        <f>C49/Steuerung!$D$4</f>
        <v>-1.6735260776040885E-9</v>
      </c>
      <c r="H49" s="103">
        <f>D49/Steuerung!$D$2</f>
        <v>-5.5480949196048232E-9</v>
      </c>
      <c r="I49" s="57">
        <f>60*F49/Steuerung!$D$1</f>
        <v>5.690216526483311E-10</v>
      </c>
      <c r="J49" s="103">
        <f t="shared" si="3"/>
        <v>4.0164625862498127E-8</v>
      </c>
      <c r="K49" s="57">
        <f t="shared" si="4"/>
        <v>-7.0434143353473751E-9</v>
      </c>
      <c r="L49" s="57">
        <f t="shared" si="5"/>
        <v>4.7208040197845503E-8</v>
      </c>
    </row>
    <row r="50" spans="1:12">
      <c r="A50" s="64">
        <v>35</v>
      </c>
      <c r="B50" s="64">
        <v>0</v>
      </c>
      <c r="C50" s="117">
        <f t="shared" si="0"/>
        <v>-2.3073346340351664E-8</v>
      </c>
      <c r="D50" s="103">
        <f t="shared" si="6"/>
        <v>-9.5616313753875137E-9</v>
      </c>
      <c r="E50" s="103">
        <f t="shared" si="1"/>
        <v>1.0270742299963336E-7</v>
      </c>
      <c r="F50" s="103">
        <f t="shared" si="2"/>
        <v>1.6344274824893917E-8</v>
      </c>
      <c r="G50" s="118">
        <f>C50/Steuerung!$D$4</f>
        <v>-9.6138943084798593E-10</v>
      </c>
      <c r="H50" s="103">
        <f>D50/Steuerung!$D$2</f>
        <v>-3.1872104584625047E-9</v>
      </c>
      <c r="I50" s="57">
        <f>60*F50/Steuerung!$D$1</f>
        <v>3.2688549649787834E-10</v>
      </c>
      <c r="J50" s="103">
        <f t="shared" si="3"/>
        <v>2.3073346340351664E-8</v>
      </c>
      <c r="K50" s="57">
        <f t="shared" si="4"/>
        <v>-4.0462256248677982E-9</v>
      </c>
      <c r="L50" s="57">
        <f t="shared" si="5"/>
        <v>2.7119571965219461E-8</v>
      </c>
    </row>
    <row r="51" spans="1:12">
      <c r="A51" s="64">
        <v>36</v>
      </c>
      <c r="B51" s="64">
        <v>0</v>
      </c>
      <c r="C51" s="117">
        <f t="shared" si="0"/>
        <v>-1.3254930175732173E-8</v>
      </c>
      <c r="D51" s="103">
        <f t="shared" si="6"/>
        <v>-5.4928641202427264E-9</v>
      </c>
      <c r="E51" s="103">
        <f t="shared" si="1"/>
        <v>5.9002266091273028E-8</v>
      </c>
      <c r="F51" s="103">
        <f t="shared" si="2"/>
        <v>9.3892848649384198E-9</v>
      </c>
      <c r="G51" s="118">
        <f>C51/Steuerung!$D$4</f>
        <v>-5.5228875732217391E-10</v>
      </c>
      <c r="H51" s="103">
        <f>D51/Steuerung!$D$2</f>
        <v>-1.8309547067475755E-9</v>
      </c>
      <c r="I51" s="57">
        <f>60*F51/Steuerung!$D$1</f>
        <v>1.8778569729876838E-10</v>
      </c>
      <c r="J51" s="103">
        <f t="shared" si="3"/>
        <v>1.3254930175732173E-8</v>
      </c>
      <c r="K51" s="57">
        <f t="shared" si="4"/>
        <v>-2.3244325873567048E-9</v>
      </c>
      <c r="L51" s="57">
        <f t="shared" si="5"/>
        <v>1.5579362763088878E-8</v>
      </c>
    </row>
    <row r="52" spans="1:12">
      <c r="A52" s="64">
        <v>37</v>
      </c>
      <c r="B52" s="64">
        <v>0</v>
      </c>
      <c r="C52" s="117">
        <f t="shared" si="0"/>
        <v>-7.6145510656282946E-9</v>
      </c>
      <c r="D52" s="103">
        <f t="shared" si="6"/>
        <v>-3.1554820572893217E-9</v>
      </c>
      <c r="E52" s="103">
        <f t="shared" si="1"/>
        <v>3.3894993197500576E-8</v>
      </c>
      <c r="F52" s="103">
        <f t="shared" si="2"/>
        <v>5.3938563331477682E-9</v>
      </c>
      <c r="G52" s="118">
        <f>C52/Steuerung!$D$4</f>
        <v>-3.1727296106784559E-10</v>
      </c>
      <c r="H52" s="103">
        <f>D52/Steuerung!$D$2</f>
        <v>-1.0518273524297738E-9</v>
      </c>
      <c r="I52" s="57">
        <f>60*F52/Steuerung!$D$1</f>
        <v>1.0787712666295537E-10</v>
      </c>
      <c r="J52" s="103">
        <f t="shared" si="3"/>
        <v>7.6145510656282946E-9</v>
      </c>
      <c r="K52" s="57">
        <f t="shared" si="4"/>
        <v>-1.3353152676310068E-9</v>
      </c>
      <c r="L52" s="57">
        <f t="shared" si="5"/>
        <v>8.9498663332593007E-9</v>
      </c>
    </row>
    <row r="53" spans="1:12">
      <c r="A53" s="64">
        <v>38</v>
      </c>
      <c r="B53" s="64">
        <v>0</v>
      </c>
      <c r="C53" s="117">
        <f t="shared" si="0"/>
        <v>-4.3743261686294182E-9</v>
      </c>
      <c r="D53" s="103">
        <f t="shared" si="6"/>
        <v>-1.81272771288485E-9</v>
      </c>
      <c r="E53" s="103">
        <f t="shared" si="1"/>
        <v>1.9471634565380509E-8</v>
      </c>
      <c r="F53" s="103">
        <f t="shared" si="2"/>
        <v>3.0986051186156128E-9</v>
      </c>
      <c r="G53" s="118">
        <f>C53/Steuerung!$D$4</f>
        <v>-1.8226359035955909E-10</v>
      </c>
      <c r="H53" s="103">
        <f>D53/Steuerung!$D$2</f>
        <v>-6.0424257096161664E-10</v>
      </c>
      <c r="I53" s="57">
        <f>60*F53/Steuerung!$D$1</f>
        <v>6.1972102372312254E-11</v>
      </c>
      <c r="J53" s="103">
        <f t="shared" si="3"/>
        <v>4.3743261686294182E-9</v>
      </c>
      <c r="K53" s="57">
        <f t="shared" si="4"/>
        <v>-7.6709768812703419E-10</v>
      </c>
      <c r="L53" s="57">
        <f t="shared" si="5"/>
        <v>5.1414238567564524E-9</v>
      </c>
    </row>
    <row r="54" spans="1:12">
      <c r="A54" s="64">
        <v>39</v>
      </c>
      <c r="B54" s="64">
        <v>0</v>
      </c>
      <c r="C54" s="117">
        <f t="shared" si="0"/>
        <v>-2.5129162920620949E-9</v>
      </c>
      <c r="D54" s="103">
        <f t="shared" si="6"/>
        <v>-1.0413565031909962E-9</v>
      </c>
      <c r="E54" s="103">
        <f t="shared" si="1"/>
        <v>1.1185857168889452E-8</v>
      </c>
      <c r="F54" s="103">
        <f t="shared" si="2"/>
        <v>1.7800536551383597E-9</v>
      </c>
      <c r="G54" s="118">
        <f>C54/Steuerung!$D$4</f>
        <v>-1.0470484550258729E-10</v>
      </c>
      <c r="H54" s="103">
        <f>D54/Steuerung!$D$2</f>
        <v>-3.4711883439699874E-10</v>
      </c>
      <c r="I54" s="57">
        <f>60*F54/Steuerung!$D$1</f>
        <v>3.5601073102767191E-11</v>
      </c>
      <c r="J54" s="103">
        <f t="shared" si="3"/>
        <v>2.5129162920620949E-9</v>
      </c>
      <c r="K54" s="57">
        <f t="shared" si="4"/>
        <v>-4.4067410700230707E-10</v>
      </c>
      <c r="L54" s="57">
        <f t="shared" si="5"/>
        <v>2.9535903990644021E-9</v>
      </c>
    </row>
    <row r="55" spans="1:12">
      <c r="A55" s="64">
        <v>40</v>
      </c>
      <c r="B55" s="64">
        <v>0</v>
      </c>
      <c r="C55" s="117">
        <f t="shared" si="0"/>
        <v>-1.4435933781521533E-9</v>
      </c>
      <c r="D55" s="103">
        <f t="shared" si="6"/>
        <v>-5.9822738905027441E-10</v>
      </c>
      <c r="E55" s="103">
        <f t="shared" si="1"/>
        <v>6.4259320491387005E-9</v>
      </c>
      <c r="F55" s="103">
        <f t="shared" si="2"/>
        <v>1.0225862586153246E-9</v>
      </c>
      <c r="G55" s="118">
        <f>C55/Steuerung!$D$4</f>
        <v>-6.014972408967305E-11</v>
      </c>
      <c r="H55" s="103">
        <f>D55/Steuerung!$D$2</f>
        <v>-1.9940912968342481E-10</v>
      </c>
      <c r="I55" s="57">
        <f>60*F55/Steuerung!$D$1</f>
        <v>2.0451725172306493E-11</v>
      </c>
      <c r="J55" s="103">
        <f t="shared" si="3"/>
        <v>1.4435933781521533E-9</v>
      </c>
      <c r="K55" s="57">
        <f t="shared" si="4"/>
        <v>-2.5315376592573119E-10</v>
      </c>
      <c r="L55" s="57">
        <f t="shared" si="5"/>
        <v>1.6967471440778844E-9</v>
      </c>
    </row>
    <row r="56" spans="1:12">
      <c r="A56" s="64">
        <v>41</v>
      </c>
      <c r="B56" s="64">
        <v>0</v>
      </c>
      <c r="C56" s="117">
        <f t="shared" si="0"/>
        <v>-8.293001434340057E-10</v>
      </c>
      <c r="D56" s="103">
        <f t="shared" si="6"/>
        <v>-3.4366329677999789E-10</v>
      </c>
      <c r="E56" s="103">
        <f t="shared" si="1"/>
        <v>3.6915009799152927E-9</v>
      </c>
      <c r="F56" s="103">
        <f t="shared" si="2"/>
        <v>5.8744445892986838E-10</v>
      </c>
      <c r="G56" s="118">
        <f>C56/Steuerung!$D$4</f>
        <v>-3.4554172643083571E-11</v>
      </c>
      <c r="H56" s="103">
        <f>D56/Steuerung!$D$2</f>
        <v>-1.145544322599993E-10</v>
      </c>
      <c r="I56" s="57">
        <f>60*F56/Steuerung!$D$1</f>
        <v>1.1748889178597367E-11</v>
      </c>
      <c r="J56" s="103">
        <f t="shared" si="3"/>
        <v>8.293001434340057E-10</v>
      </c>
      <c r="K56" s="57">
        <f t="shared" si="4"/>
        <v>-1.454290782781217E-10</v>
      </c>
      <c r="L56" s="57">
        <f t="shared" si="5"/>
        <v>9.7472922171212743E-10</v>
      </c>
    </row>
    <row r="57" spans="1:12">
      <c r="A57" s="64">
        <v>42</v>
      </c>
      <c r="B57" s="64">
        <v>0</v>
      </c>
      <c r="C57" s="117">
        <f t="shared" si="0"/>
        <v>-4.7640751080473309E-10</v>
      </c>
      <c r="D57" s="103">
        <f t="shared" si="6"/>
        <v>-1.9742402924947268E-10</v>
      </c>
      <c r="E57" s="103">
        <f t="shared" si="1"/>
        <v>2.1206541526597813E-9</v>
      </c>
      <c r="F57" s="103">
        <f t="shared" si="2"/>
        <v>3.3746883396877487E-10</v>
      </c>
      <c r="G57" s="118">
        <f>C57/Steuerung!$D$4</f>
        <v>-1.9850312950197211E-11</v>
      </c>
      <c r="H57" s="103">
        <f>D57/Steuerung!$D$2</f>
        <v>-6.580800974982423E-11</v>
      </c>
      <c r="I57" s="57">
        <f>60*F57/Steuerung!$D$1</f>
        <v>6.7493766793754976E-12</v>
      </c>
      <c r="J57" s="103">
        <f t="shared" si="3"/>
        <v>4.7640751080473309E-10</v>
      </c>
      <c r="K57" s="57">
        <f t="shared" si="4"/>
        <v>-8.3544547447217497E-11</v>
      </c>
      <c r="L57" s="57">
        <f t="shared" si="5"/>
        <v>5.5995205825195053E-10</v>
      </c>
    </row>
    <row r="58" spans="1:12">
      <c r="A58" s="64">
        <v>43</v>
      </c>
      <c r="B58" s="64">
        <v>0</v>
      </c>
      <c r="C58" s="117">
        <f t="shared" si="0"/>
        <v>-2.7368151102848937E-10</v>
      </c>
      <c r="D58" s="103">
        <f t="shared" si="6"/>
        <v>-1.1341405291251673E-10</v>
      </c>
      <c r="E58" s="103">
        <f t="shared" si="1"/>
        <v>1.2182508035786487E-9</v>
      </c>
      <c r="F58" s="103">
        <f t="shared" si="2"/>
        <v>1.9386550025121717E-10</v>
      </c>
      <c r="G58" s="118">
        <f>C58/Steuerung!$D$4</f>
        <v>-1.1403396292853723E-11</v>
      </c>
      <c r="H58" s="103">
        <f>D58/Steuerung!$D$2</f>
        <v>-3.7804684304172242E-11</v>
      </c>
      <c r="I58" s="57">
        <f>60*F58/Steuerung!$D$1</f>
        <v>3.8773100050243429E-12</v>
      </c>
      <c r="J58" s="103">
        <f t="shared" si="3"/>
        <v>2.7368151102848937E-10</v>
      </c>
      <c r="K58" s="57">
        <f t="shared" si="4"/>
        <v>-4.7993781510546807E-11</v>
      </c>
      <c r="L58" s="57">
        <f t="shared" si="5"/>
        <v>3.2167529253903619E-10</v>
      </c>
    </row>
    <row r="59" spans="1:12">
      <c r="A59" s="64">
        <v>44</v>
      </c>
      <c r="B59" s="64">
        <v>0</v>
      </c>
      <c r="C59" s="117">
        <f t="shared" si="0"/>
        <v>-1.572216385764274E-10</v>
      </c>
      <c r="D59" s="103">
        <f t="shared" si="6"/>
        <v>-6.5152896772202319E-11</v>
      </c>
      <c r="E59" s="103">
        <f t="shared" si="1"/>
        <v>6.9984774205571493E-10</v>
      </c>
      <c r="F59" s="103">
        <f t="shared" si="2"/>
        <v>1.1136978708716024E-10</v>
      </c>
      <c r="G59" s="118">
        <f>C59/Steuerung!$D$4</f>
        <v>-6.5509016073511416E-12</v>
      </c>
      <c r="H59" s="103">
        <f>D59/Steuerung!$D$2</f>
        <v>-2.1717632257400774E-11</v>
      </c>
      <c r="I59" s="57">
        <f>60*F59/Steuerung!$D$1</f>
        <v>2.2273957417432046E-12</v>
      </c>
      <c r="J59" s="103">
        <f t="shared" si="3"/>
        <v>1.572216385764274E-10</v>
      </c>
      <c r="K59" s="57">
        <f t="shared" si="4"/>
        <v>-2.7570956263032818E-11</v>
      </c>
      <c r="L59" s="57">
        <f t="shared" si="5"/>
        <v>1.8479259483946021E-10</v>
      </c>
    </row>
    <row r="60" spans="1:12">
      <c r="A60" s="64">
        <v>45</v>
      </c>
      <c r="B60" s="64">
        <v>0</v>
      </c>
      <c r="C60" s="117">
        <f t="shared" si="0"/>
        <v>-9.0319011846158755E-11</v>
      </c>
      <c r="D60" s="103">
        <f t="shared" si="6"/>
        <v>-3.7428341980544537E-11</v>
      </c>
      <c r="E60" s="103">
        <f t="shared" si="1"/>
        <v>4.0204107448295444E-10</v>
      </c>
      <c r="F60" s="103">
        <f t="shared" si="2"/>
        <v>6.3978528721030307E-11</v>
      </c>
      <c r="G60" s="118">
        <f>C60/Steuerung!$D$4</f>
        <v>-3.7632921602566145E-12</v>
      </c>
      <c r="H60" s="103">
        <f>D60/Steuerung!$D$2</f>
        <v>-1.2476113993514845E-11</v>
      </c>
      <c r="I60" s="57">
        <f>60*F60/Steuerung!$D$1</f>
        <v>1.2795705744206061E-12</v>
      </c>
      <c r="J60" s="103">
        <f t="shared" si="3"/>
        <v>9.0319011846158755E-11</v>
      </c>
      <c r="K60" s="57">
        <f t="shared" si="4"/>
        <v>-1.5838669205322385E-11</v>
      </c>
      <c r="L60" s="57">
        <f t="shared" si="5"/>
        <v>1.0615768105148113E-10</v>
      </c>
    </row>
    <row r="61" spans="1:12">
      <c r="A61" s="64">
        <v>46</v>
      </c>
      <c r="B61" s="64">
        <v>0</v>
      </c>
      <c r="C61" s="117">
        <f t="shared" si="0"/>
        <v>-5.1885503641415715E-11</v>
      </c>
      <c r="D61" s="103">
        <f t="shared" si="6"/>
        <v>-2.1501435128979314E-11</v>
      </c>
      <c r="E61" s="103">
        <f t="shared" si="1"/>
        <v>2.3096027301112668E-10</v>
      </c>
      <c r="F61" s="103">
        <f t="shared" si="2"/>
        <v>3.6753703534552308E-11</v>
      </c>
      <c r="G61" s="118">
        <f>C61/Steuerung!$D$4</f>
        <v>-2.161895985058988E-12</v>
      </c>
      <c r="H61" s="103">
        <f>D61/Steuerung!$D$2</f>
        <v>-7.1671450429931051E-12</v>
      </c>
      <c r="I61" s="57">
        <f>60*F61/Steuerung!$D$1</f>
        <v>7.350740706910462E-13</v>
      </c>
      <c r="J61" s="103">
        <f t="shared" si="3"/>
        <v>5.1885503641415715E-11</v>
      </c>
      <c r="K61" s="57">
        <f t="shared" si="4"/>
        <v>-9.0988299354703782E-12</v>
      </c>
      <c r="L61" s="57">
        <f t="shared" si="5"/>
        <v>6.0984333576886092E-11</v>
      </c>
    </row>
    <row r="62" spans="1:12">
      <c r="A62" s="64">
        <v>47</v>
      </c>
      <c r="B62" s="64">
        <v>0</v>
      </c>
      <c r="C62" s="117">
        <f t="shared" si="0"/>
        <v>-2.9806631329280386E-11</v>
      </c>
      <c r="D62" s="103">
        <f t="shared" si="6"/>
        <v>-1.2351915370603848E-11</v>
      </c>
      <c r="E62" s="103">
        <f t="shared" si="1"/>
        <v>1.3267959692420874E-10</v>
      </c>
      <c r="F62" s="103">
        <f t="shared" si="2"/>
        <v>2.1113876022312021E-11</v>
      </c>
      <c r="G62" s="118">
        <f>C62/Steuerung!$D$4</f>
        <v>-1.2419429720533494E-12</v>
      </c>
      <c r="H62" s="103">
        <f>D62/Steuerung!$D$2</f>
        <v>-4.117305123534616E-12</v>
      </c>
      <c r="I62" s="57">
        <f>60*F62/Steuerung!$D$1</f>
        <v>4.222775204462404E-13</v>
      </c>
      <c r="J62" s="103">
        <f t="shared" si="3"/>
        <v>2.9806631329280386E-11</v>
      </c>
      <c r="K62" s="57">
        <f t="shared" si="4"/>
        <v>-5.2269988798548712E-12</v>
      </c>
      <c r="L62" s="57">
        <f t="shared" si="5"/>
        <v>3.5033630209135256E-11</v>
      </c>
    </row>
    <row r="63" spans="1:12">
      <c r="A63" s="64">
        <v>48</v>
      </c>
      <c r="B63" s="64">
        <v>0</v>
      </c>
      <c r="C63" s="117">
        <f t="shared" si="0"/>
        <v>-1.7122995997874022E-11</v>
      </c>
      <c r="D63" s="103">
        <f t="shared" si="6"/>
        <v>-7.0957967413499892E-12</v>
      </c>
      <c r="E63" s="103">
        <f t="shared" si="1"/>
        <v>7.6220361235555103E-11</v>
      </c>
      <c r="F63" s="103">
        <f t="shared" si="2"/>
        <v>1.2129274544168541E-11</v>
      </c>
      <c r="G63" s="118">
        <f>C63/Steuerung!$D$4</f>
        <v>-7.1345816657808425E-13</v>
      </c>
      <c r="H63" s="103">
        <f>D63/Steuerung!$D$2</f>
        <v>-2.3652655804499965E-12</v>
      </c>
      <c r="I63" s="57">
        <f>60*F63/Steuerung!$D$1</f>
        <v>2.425854908833708E-13</v>
      </c>
      <c r="J63" s="103">
        <f t="shared" si="3"/>
        <v>1.7122995997874022E-11</v>
      </c>
      <c r="K63" s="57">
        <f t="shared" si="4"/>
        <v>-3.0027506265937956E-12</v>
      </c>
      <c r="L63" s="57">
        <f t="shared" si="5"/>
        <v>2.0125746624467818E-11</v>
      </c>
    </row>
    <row r="64" spans="1:12">
      <c r="A64" s="64">
        <v>49</v>
      </c>
      <c r="B64" s="64">
        <v>0</v>
      </c>
      <c r="C64" s="117">
        <f t="shared" si="0"/>
        <v>-9.8366363076792688E-12</v>
      </c>
      <c r="D64" s="103">
        <f t="shared" si="6"/>
        <v>-4.0763177113714038E-12</v>
      </c>
      <c r="E64" s="103">
        <f t="shared" si="1"/>
        <v>4.3786261049595492E-11</v>
      </c>
      <c r="F64" s="103">
        <f t="shared" si="2"/>
        <v>6.9678964114569533E-12</v>
      </c>
      <c r="G64" s="118">
        <f>C64/Steuerung!$D$4</f>
        <v>-4.0985984615330288E-13</v>
      </c>
      <c r="H64" s="103">
        <f>D64/Steuerung!$D$2</f>
        <v>-1.3587725704571345E-12</v>
      </c>
      <c r="I64" s="57">
        <f>60*F64/Steuerung!$D$1</f>
        <v>1.3935792822913907E-13</v>
      </c>
      <c r="J64" s="103">
        <f t="shared" si="3"/>
        <v>9.8366363076792688E-12</v>
      </c>
      <c r="K64" s="57">
        <f t="shared" si="4"/>
        <v>-1.7249881878221825E-12</v>
      </c>
      <c r="L64" s="57">
        <f t="shared" si="5"/>
        <v>1.1561624495501452E-11</v>
      </c>
    </row>
    <row r="65" spans="1:12">
      <c r="A65" s="64">
        <v>50</v>
      </c>
      <c r="B65" s="64">
        <v>0</v>
      </c>
      <c r="C65" s="117">
        <f t="shared" si="0"/>
        <v>-5.6508460237663789E-12</v>
      </c>
      <c r="D65" s="103">
        <f t="shared" si="6"/>
        <v>-2.3417195686018064E-12</v>
      </c>
      <c r="E65" s="103">
        <f t="shared" si="1"/>
        <v>2.5153864736723068E-11</v>
      </c>
      <c r="F65" s="103">
        <f t="shared" si="2"/>
        <v>4.0028428925402716E-12</v>
      </c>
      <c r="G65" s="118">
        <f>C65/Steuerung!$D$4</f>
        <v>-2.3545191765693244E-13</v>
      </c>
      <c r="H65" s="103">
        <f>D65/Steuerung!$D$2</f>
        <v>-7.8057318953393544E-13</v>
      </c>
      <c r="I65" s="57">
        <f>60*F65/Steuerung!$D$1</f>
        <v>8.0056857850805425E-14</v>
      </c>
      <c r="J65" s="103">
        <f t="shared" si="3"/>
        <v>5.6508460237663789E-12</v>
      </c>
      <c r="K65" s="57">
        <f t="shared" si="4"/>
        <v>-9.9095283563438839E-13</v>
      </c>
      <c r="L65" s="57">
        <f t="shared" si="5"/>
        <v>6.6417988594007675E-12</v>
      </c>
    </row>
    <row r="66" spans="1:12">
      <c r="A66" s="64">
        <v>51</v>
      </c>
      <c r="B66" s="64">
        <v>0</v>
      </c>
      <c r="C66" s="117">
        <f t="shared" si="0"/>
        <v>-3.2462378180422879E-12</v>
      </c>
      <c r="D66" s="103">
        <f t="shared" si="6"/>
        <v>-1.34524610843637E-12</v>
      </c>
      <c r="E66" s="103">
        <f t="shared" si="1"/>
        <v>1.4450124217655834E-11</v>
      </c>
      <c r="F66" s="103">
        <f t="shared" si="2"/>
        <v>2.2995105375009286E-12</v>
      </c>
      <c r="G66" s="118">
        <f>C66/Steuerung!$D$4</f>
        <v>-1.3525990908509533E-13</v>
      </c>
      <c r="H66" s="103">
        <f>D66/Steuerung!$D$2</f>
        <v>-4.4841536947878997E-13</v>
      </c>
      <c r="I66" s="57">
        <f>60*F66/Steuerung!$D$1</f>
        <v>4.599021075001857E-14</v>
      </c>
      <c r="J66" s="103">
        <f t="shared" si="3"/>
        <v>3.2462378180422879E-12</v>
      </c>
      <c r="K66" s="57">
        <f t="shared" si="4"/>
        <v>-5.692720271270992E-13</v>
      </c>
      <c r="L66" s="57">
        <f t="shared" si="5"/>
        <v>3.8155098451693869E-12</v>
      </c>
    </row>
    <row r="67" spans="1:12">
      <c r="A67" s="64">
        <v>52</v>
      </c>
      <c r="B67" s="64">
        <v>0</v>
      </c>
      <c r="C67" s="117">
        <f t="shared" si="0"/>
        <v>-1.8648641153850034E-12</v>
      </c>
      <c r="D67" s="103">
        <f t="shared" si="6"/>
        <v>-7.7280265174694892E-13</v>
      </c>
      <c r="E67" s="103">
        <f t="shared" si="1"/>
        <v>8.3011534049016251E-12</v>
      </c>
      <c r="F67" s="103">
        <f t="shared" si="2"/>
        <v>1.3209983139563377E-12</v>
      </c>
      <c r="G67" s="118">
        <f>C67/Steuerung!$D$4</f>
        <v>-7.7702671474375136E-14</v>
      </c>
      <c r="H67" s="103">
        <f>D67/Steuerung!$D$2</f>
        <v>-2.5760088391564964E-13</v>
      </c>
      <c r="I67" s="57">
        <f>60*F67/Steuerung!$D$1</f>
        <v>2.6419966279126755E-14</v>
      </c>
      <c r="J67" s="103">
        <f t="shared" si="3"/>
        <v>1.8648641153850034E-12</v>
      </c>
      <c r="K67" s="57">
        <f t="shared" si="4"/>
        <v>-3.2702932896088155E-13</v>
      </c>
      <c r="L67" s="57">
        <f t="shared" si="5"/>
        <v>2.1918934443458851E-12</v>
      </c>
    </row>
    <row r="68" spans="1:12">
      <c r="A68" s="64">
        <v>53</v>
      </c>
      <c r="B68" s="64">
        <v>0</v>
      </c>
      <c r="C68" s="117">
        <f t="shared" si="0"/>
        <v>-1.0713072682234978E-12</v>
      </c>
      <c r="D68" s="103">
        <f t="shared" si="6"/>
        <v>-4.4395143372040066E-13</v>
      </c>
      <c r="E68" s="103">
        <f t="shared" si="1"/>
        <v>4.7687581652421669E-12</v>
      </c>
      <c r="F68" s="103">
        <f t="shared" si="2"/>
        <v>7.5887303711683111E-13</v>
      </c>
      <c r="G68" s="118">
        <f>C68/Steuerung!$D$4</f>
        <v>-4.4637802842645742E-14</v>
      </c>
      <c r="H68" s="103">
        <f>D68/Steuerung!$D$2</f>
        <v>-1.4798381124013354E-13</v>
      </c>
      <c r="I68" s="57">
        <f>60*F68/Steuerung!$D$1</f>
        <v>1.5177460742336623E-14</v>
      </c>
      <c r="J68" s="103">
        <f t="shared" si="3"/>
        <v>1.0713072682234978E-12</v>
      </c>
      <c r="K68" s="57">
        <f t="shared" si="4"/>
        <v>-1.8786832463968328E-13</v>
      </c>
      <c r="L68" s="57">
        <f t="shared" si="5"/>
        <v>1.259175592863181E-12</v>
      </c>
    </row>
    <row r="69" spans="1:12">
      <c r="A69" s="64">
        <v>54</v>
      </c>
      <c r="B69" s="64">
        <v>0</v>
      </c>
      <c r="C69" s="117">
        <f t="shared" si="0"/>
        <v>-6.1543318544233406E-13</v>
      </c>
      <c r="D69" s="103">
        <f t="shared" si="6"/>
        <v>-2.5503648966118781E-13</v>
      </c>
      <c r="E69" s="103">
        <f t="shared" si="1"/>
        <v>2.7395053830875852E-12</v>
      </c>
      <c r="F69" s="103">
        <f t="shared" si="2"/>
        <v>4.3594929711769342E-13</v>
      </c>
      <c r="G69" s="118">
        <f>C69/Steuerung!$D$4</f>
        <v>-2.5643049393430586E-14</v>
      </c>
      <c r="H69" s="103">
        <f>D69/Steuerung!$D$2</f>
        <v>-8.5012163220395939E-14</v>
      </c>
      <c r="I69" s="57">
        <f>60*F69/Steuerung!$D$1</f>
        <v>8.7189859423538687E-15</v>
      </c>
      <c r="J69" s="103">
        <f t="shared" si="3"/>
        <v>6.1543318544233406E-13</v>
      </c>
      <c r="K69" s="57">
        <f t="shared" si="4"/>
        <v>-1.0792459353742941E-13</v>
      </c>
      <c r="L69" s="57">
        <f t="shared" si="5"/>
        <v>7.2335777897976342E-13</v>
      </c>
    </row>
    <row r="70" spans="1:12">
      <c r="A70" s="64">
        <v>55</v>
      </c>
      <c r="B70" s="64">
        <v>0</v>
      </c>
      <c r="C70" s="117">
        <f t="shared" si="0"/>
        <v>-3.5354749937595055E-13</v>
      </c>
      <c r="D70" s="103">
        <f t="shared" si="6"/>
        <v>-1.4651064535060253E-13</v>
      </c>
      <c r="E70" s="103">
        <f t="shared" si="1"/>
        <v>1.573761865021047E-12</v>
      </c>
      <c r="F70" s="103">
        <f t="shared" si="2"/>
        <v>2.5043950748266184E-13</v>
      </c>
      <c r="G70" s="118">
        <f>C70/Steuerung!$D$4</f>
        <v>-1.4731145807331272E-14</v>
      </c>
      <c r="H70" s="103">
        <f>D70/Steuerung!$D$2</f>
        <v>-4.8836881783534179E-14</v>
      </c>
      <c r="I70" s="57">
        <f>60*F70/Steuerung!$D$1</f>
        <v>5.0087901496532363E-15</v>
      </c>
      <c r="J70" s="103">
        <f t="shared" si="3"/>
        <v>3.5354749937595055E-13</v>
      </c>
      <c r="K70" s="57">
        <f t="shared" si="4"/>
        <v>-6.1999370636634758E-14</v>
      </c>
      <c r="L70" s="57">
        <f t="shared" si="5"/>
        <v>4.1554687001258532E-13</v>
      </c>
    </row>
    <row r="71" spans="1:12">
      <c r="A71" s="64">
        <v>56</v>
      </c>
      <c r="B71" s="64">
        <v>0</v>
      </c>
      <c r="C71" s="117">
        <f t="shared" si="0"/>
        <v>-2.0310220064774181E-13</v>
      </c>
      <c r="D71" s="103">
        <f t="shared" si="6"/>
        <v>-8.4165874575698844E-14</v>
      </c>
      <c r="E71" s="103">
        <f t="shared" si="1"/>
        <v>9.0407794891905109E-13</v>
      </c>
      <c r="F71" s="103">
        <f t="shared" si="2"/>
        <v>1.4386982000621436E-13</v>
      </c>
      <c r="G71" s="118">
        <f>C71/Steuerung!$D$4</f>
        <v>-8.4625916936559094E-15</v>
      </c>
      <c r="H71" s="103">
        <f>D71/Steuerung!$D$2</f>
        <v>-2.8055291525232948E-14</v>
      </c>
      <c r="I71" s="57">
        <f>60*F71/Steuerung!$D$1</f>
        <v>2.8773964001242874E-15</v>
      </c>
      <c r="J71" s="103">
        <f t="shared" si="3"/>
        <v>2.0310220064774181E-13</v>
      </c>
      <c r="K71" s="57">
        <f t="shared" si="4"/>
        <v>-3.5616737884731478E-14</v>
      </c>
      <c r="L71" s="57">
        <f t="shared" si="5"/>
        <v>2.3871893853247328E-13</v>
      </c>
    </row>
    <row r="72" spans="1:12">
      <c r="A72" s="64">
        <v>57</v>
      </c>
      <c r="B72" s="64">
        <v>0</v>
      </c>
      <c r="C72" s="117">
        <f t="shared" si="0"/>
        <v>-1.1667598832057114E-13</v>
      </c>
      <c r="D72" s="103">
        <f t="shared" si="6"/>
        <v>-4.8350714899524056E-14</v>
      </c>
      <c r="E72" s="103">
        <f t="shared" si="1"/>
        <v>5.1936506779616707E-13</v>
      </c>
      <c r="F72" s="103">
        <f t="shared" si="2"/>
        <v>8.2648801367945112E-14</v>
      </c>
      <c r="G72" s="118">
        <f>C72/Steuerung!$D$4</f>
        <v>-4.8614995133571308E-15</v>
      </c>
      <c r="H72" s="103">
        <f>D72/Steuerung!$D$2</f>
        <v>-1.6116904966508018E-14</v>
      </c>
      <c r="I72" s="57">
        <f>60*F72/Steuerung!$D$1</f>
        <v>1.6529760273589024E-15</v>
      </c>
      <c r="J72" s="103">
        <f t="shared" si="3"/>
        <v>1.1667598832057114E-13</v>
      </c>
      <c r="K72" s="57">
        <f t="shared" si="4"/>
        <v>-2.0460724109352389E-14</v>
      </c>
      <c r="L72" s="57">
        <f t="shared" si="5"/>
        <v>1.3713671242992353E-13</v>
      </c>
    </row>
    <row r="73" spans="1:12">
      <c r="A73" s="64">
        <v>58</v>
      </c>
      <c r="B73" s="64">
        <v>0</v>
      </c>
      <c r="C73" s="117">
        <f t="shared" si="0"/>
        <v>-6.7026778671850977E-14</v>
      </c>
      <c r="D73" s="103">
        <f t="shared" si="6"/>
        <v>-2.7776003553464492E-14</v>
      </c>
      <c r="E73" s="103">
        <f t="shared" si="1"/>
        <v>2.9835931068712429E-13</v>
      </c>
      <c r="F73" s="103">
        <f t="shared" si="2"/>
        <v>4.7479202846455175E-14</v>
      </c>
      <c r="G73" s="118">
        <f>C73/Steuerung!$D$4</f>
        <v>-2.7927824446604573E-15</v>
      </c>
      <c r="H73" s="103">
        <f>D73/Steuerung!$D$2</f>
        <v>-9.2586678511548307E-15</v>
      </c>
      <c r="I73" s="57">
        <f>60*F73/Steuerung!$D$1</f>
        <v>9.4958405692910353E-16</v>
      </c>
      <c r="J73" s="103">
        <f t="shared" si="3"/>
        <v>6.7026778671850977E-14</v>
      </c>
      <c r="K73" s="57">
        <f t="shared" si="4"/>
        <v>-1.1754058792074299E-14</v>
      </c>
      <c r="L73" s="57">
        <f t="shared" si="5"/>
        <v>7.8780837463925275E-14</v>
      </c>
    </row>
    <row r="74" spans="1:12">
      <c r="A74" s="64">
        <v>59</v>
      </c>
      <c r="B74" s="64">
        <v>0</v>
      </c>
      <c r="C74" s="117">
        <f t="shared" si="0"/>
        <v>-3.8504829689393852E-14</v>
      </c>
      <c r="D74" s="103">
        <f t="shared" si="6"/>
        <v>-1.5956462588098505E-14</v>
      </c>
      <c r="E74" s="103">
        <f t="shared" si="1"/>
        <v>1.7139827800015338E-13</v>
      </c>
      <c r="F74" s="103">
        <f t="shared" si="2"/>
        <v>2.7275346594550189E-14</v>
      </c>
      <c r="G74" s="118">
        <f>C74/Steuerung!$D$4</f>
        <v>-1.6043679037247439E-15</v>
      </c>
      <c r="H74" s="103">
        <f>D74/Steuerung!$D$2</f>
        <v>-5.3188208626995015E-15</v>
      </c>
      <c r="I74" s="57">
        <f>60*F74/Steuerung!$D$1</f>
        <v>5.4550693189100384E-16</v>
      </c>
      <c r="J74" s="103">
        <f t="shared" si="3"/>
        <v>3.8504829689393852E-14</v>
      </c>
      <c r="K74" s="57">
        <f t="shared" si="4"/>
        <v>-6.7523464638472186E-15</v>
      </c>
      <c r="L74" s="57">
        <f t="shared" si="5"/>
        <v>4.525717615324107E-14</v>
      </c>
    </row>
    <row r="75" spans="1:12">
      <c r="A75" s="64">
        <v>60</v>
      </c>
      <c r="B75" s="64">
        <v>0</v>
      </c>
      <c r="C75" s="117">
        <f t="shared" si="0"/>
        <v>-2.2119844318758495E-14</v>
      </c>
      <c r="D75" s="103">
        <f t="shared" si="6"/>
        <v>-9.166498623004023E-15</v>
      </c>
      <c r="E75" s="103">
        <f t="shared" si="1"/>
        <v>9.8463056620426906E-14</v>
      </c>
      <c r="F75" s="103">
        <f t="shared" si="2"/>
        <v>1.5668850512480413E-14</v>
      </c>
      <c r="G75" s="118">
        <f>C75/Steuerung!$D$4</f>
        <v>-9.2166017994827068E-16</v>
      </c>
      <c r="H75" s="103">
        <f>D75/Steuerung!$D$2</f>
        <v>-3.0554995410013411E-15</v>
      </c>
      <c r="I75" s="57">
        <f>60*F75/Steuerung!$D$1</f>
        <v>3.1337701024960828E-16</v>
      </c>
      <c r="J75" s="103">
        <f t="shared" si="3"/>
        <v>2.2119844318758495E-14</v>
      </c>
      <c r="K75" s="57">
        <f t="shared" si="4"/>
        <v>-3.8790160551667466E-15</v>
      </c>
      <c r="L75" s="57">
        <f t="shared" si="5"/>
        <v>2.5998860373925241E-14</v>
      </c>
    </row>
    <row r="76" spans="1:12">
      <c r="A76" s="64">
        <v>61</v>
      </c>
      <c r="B76" s="64">
        <v>0</v>
      </c>
      <c r="C76" s="117">
        <f t="shared" si="0"/>
        <v>-1.2707172493244051E-14</v>
      </c>
      <c r="D76" s="103">
        <f t="shared" si="6"/>
        <v>-5.2658724665081096E-15</v>
      </c>
      <c r="E76" s="103">
        <f t="shared" si="1"/>
        <v>5.6564007714410755E-14</v>
      </c>
      <c r="F76" s="103">
        <f t="shared" si="2"/>
        <v>9.0012743021022848E-15</v>
      </c>
      <c r="G76" s="118">
        <f>C76/Steuerung!$D$4</f>
        <v>-5.2946552055183544E-16</v>
      </c>
      <c r="H76" s="103">
        <f>D76/Steuerung!$D$2</f>
        <v>-1.7552908221693699E-15</v>
      </c>
      <c r="I76" s="57">
        <f>60*F76/Steuerung!$D$1</f>
        <v>1.8002548604204568E-16</v>
      </c>
      <c r="J76" s="103">
        <f t="shared" si="3"/>
        <v>1.2707172493244051E-14</v>
      </c>
      <c r="K76" s="57">
        <f t="shared" si="4"/>
        <v>-2.2283758152522782E-15</v>
      </c>
      <c r="L76" s="57">
        <f t="shared" si="5"/>
        <v>1.4935548308496329E-14</v>
      </c>
    </row>
    <row r="77" spans="1:12">
      <c r="A77" s="64">
        <v>62</v>
      </c>
      <c r="B77" s="64">
        <v>0</v>
      </c>
      <c r="C77" s="117">
        <f t="shared" si="0"/>
        <v>-7.2998810681557761E-15</v>
      </c>
      <c r="D77" s="103">
        <f t="shared" si="6"/>
        <v>-3.025082310484304E-15</v>
      </c>
      <c r="E77" s="103">
        <f t="shared" si="1"/>
        <v>3.2494288503046142E-14</v>
      </c>
      <c r="F77" s="103">
        <f t="shared" si="2"/>
        <v>5.1709561589825183E-15</v>
      </c>
      <c r="G77" s="118">
        <f>C77/Steuerung!$D$4</f>
        <v>-3.0416171117315734E-16</v>
      </c>
      <c r="H77" s="103">
        <f>D77/Steuerung!$D$2</f>
        <v>-1.0083607701614346E-15</v>
      </c>
      <c r="I77" s="57">
        <f>60*F77/Steuerung!$D$1</f>
        <v>1.0341912317965037E-16</v>
      </c>
      <c r="J77" s="103">
        <f t="shared" si="3"/>
        <v>7.2998810681557761E-15</v>
      </c>
      <c r="K77" s="57">
        <f t="shared" si="4"/>
        <v>-1.2801335966081215E-15</v>
      </c>
      <c r="L77" s="57">
        <f t="shared" si="5"/>
        <v>8.5800146647638982E-15</v>
      </c>
    </row>
    <row r="78" spans="1:12">
      <c r="A78" s="64">
        <v>63</v>
      </c>
      <c r="B78" s="64">
        <v>0</v>
      </c>
      <c r="C78" s="117">
        <f t="shared" si="0"/>
        <v>-4.1935579010634017E-15</v>
      </c>
      <c r="D78" s="103">
        <f t="shared" si="6"/>
        <v>-1.7378170556556077E-15</v>
      </c>
      <c r="E78" s="103">
        <f t="shared" si="1"/>
        <v>1.8666972656009162E-14</v>
      </c>
      <c r="F78" s="103">
        <f t="shared" si="2"/>
        <v>2.97055580140184E-15</v>
      </c>
      <c r="G78" s="118">
        <f>C78/Steuerung!$D$4</f>
        <v>-1.7473157921097508E-16</v>
      </c>
      <c r="H78" s="103">
        <f>D78/Steuerung!$D$2</f>
        <v>-5.7927235188520255E-16</v>
      </c>
      <c r="I78" s="57">
        <f>60*F78/Steuerung!$D$1</f>
        <v>5.9411116028036799E-17</v>
      </c>
      <c r="J78" s="103">
        <f t="shared" si="3"/>
        <v>4.1935579010634017E-15</v>
      </c>
      <c r="K78" s="57">
        <f t="shared" si="4"/>
        <v>-7.3539750967873436E-16</v>
      </c>
      <c r="L78" s="57">
        <f t="shared" si="5"/>
        <v>4.9289554107421362E-15</v>
      </c>
    </row>
    <row r="79" spans="1:12">
      <c r="A79" s="64">
        <v>64</v>
      </c>
      <c r="B79" s="64">
        <v>0</v>
      </c>
      <c r="C79" s="117">
        <f t="shared" si="0"/>
        <v>-2.4090704636663555E-15</v>
      </c>
      <c r="D79" s="103">
        <f t="shared" si="6"/>
        <v>-9.9832262694499527E-16</v>
      </c>
      <c r="E79" s="103">
        <f t="shared" si="1"/>
        <v>1.0723603568286411E-14</v>
      </c>
      <c r="F79" s="103">
        <f t="shared" si="2"/>
        <v>1.7064932476585633E-15</v>
      </c>
      <c r="G79" s="118">
        <f>C79/Steuerung!$D$4</f>
        <v>-1.0037793598609815E-16</v>
      </c>
      <c r="H79" s="103">
        <f>D79/Steuerung!$D$2</f>
        <v>-3.3277420898166509E-16</v>
      </c>
      <c r="I79" s="57">
        <f>60*F79/Steuerung!$D$1</f>
        <v>3.4129864953171262E-17</v>
      </c>
      <c r="J79" s="103">
        <f t="shared" si="3"/>
        <v>2.4090704636663555E-15</v>
      </c>
      <c r="K79" s="57">
        <f t="shared" si="4"/>
        <v>-4.2246332622987824E-16</v>
      </c>
      <c r="L79" s="57">
        <f t="shared" si="5"/>
        <v>2.8315337898962338E-15</v>
      </c>
    </row>
    <row r="80" spans="1:12">
      <c r="A80" s="64">
        <v>65</v>
      </c>
      <c r="B80" s="64">
        <v>0</v>
      </c>
      <c r="C80" s="117">
        <f t="shared" ref="C80:C114" si="7">B80-J80</f>
        <v>-1.3839371330578141E-15</v>
      </c>
      <c r="D80" s="103">
        <f t="shared" si="6"/>
        <v>-5.735057463194026E-16</v>
      </c>
      <c r="E80" s="103">
        <f t="shared" ref="E80:E114" si="8">$O$6*D80+E79</f>
        <v>6.16038152564317E-15</v>
      </c>
      <c r="F80" s="103">
        <f t="shared" ref="F80:F114" si="9">E80/$K$6</f>
        <v>9.8032805945944791E-16</v>
      </c>
      <c r="G80" s="118">
        <f>C80/Steuerung!$D$4</f>
        <v>-5.7664047210742253E-17</v>
      </c>
      <c r="H80" s="103">
        <f>D80/Steuerung!$D$2</f>
        <v>-1.9116858210646753E-16</v>
      </c>
      <c r="I80" s="57">
        <f>60*F80/Steuerung!$D$1</f>
        <v>1.9606561189188959E-17</v>
      </c>
      <c r="J80" s="103">
        <f t="shared" ref="J80:J114" si="10">K80+L80</f>
        <v>1.3839371330578141E-15</v>
      </c>
      <c r="K80" s="57">
        <f t="shared" ref="K80:K114" si="11">$K$8*D79</f>
        <v>-2.4269223061032837E-16</v>
      </c>
      <c r="L80" s="57">
        <f t="shared" ref="L80:L114" si="12">$K$9*E79</f>
        <v>1.6266293636681425E-15</v>
      </c>
    </row>
    <row r="81" spans="1:12">
      <c r="A81" s="64">
        <v>66</v>
      </c>
      <c r="B81" s="64">
        <v>0</v>
      </c>
      <c r="C81" s="117">
        <f t="shared" si="7"/>
        <v>-7.9502945934649887E-16</v>
      </c>
      <c r="D81" s="103">
        <f t="shared" ref="D81:D114" si="13">(D80 +$O$8*C81 +$O$5*E80)/$P$10</f>
        <v>-3.2946147085524983E-16</v>
      </c>
      <c r="E81" s="103">
        <f t="shared" si="8"/>
        <v>3.5389503444269876E-15</v>
      </c>
      <c r="F81" s="103">
        <f t="shared" si="9"/>
        <v>5.6316841890945061E-16</v>
      </c>
      <c r="G81" s="118">
        <f>C81/Steuerung!$D$4</f>
        <v>-3.3126227472770786E-17</v>
      </c>
      <c r="H81" s="103">
        <f>D81/Steuerung!$D$2</f>
        <v>-1.0982049028508328E-16</v>
      </c>
      <c r="I81" s="57">
        <f>60*F81/Steuerung!$D$1</f>
        <v>1.1263368378189013E-17</v>
      </c>
      <c r="J81" s="103">
        <f t="shared" si="10"/>
        <v>7.9502945934649887E-16</v>
      </c>
      <c r="K81" s="57">
        <f t="shared" si="11"/>
        <v>-1.3941924693024678E-16</v>
      </c>
      <c r="L81" s="57">
        <f t="shared" si="12"/>
        <v>9.344487062767456E-16</v>
      </c>
    </row>
    <row r="82" spans="1:12">
      <c r="A82" s="64">
        <v>67</v>
      </c>
      <c r="B82" s="64">
        <v>0</v>
      </c>
      <c r="C82" s="117">
        <f t="shared" si="7"/>
        <v>-4.5672005333957711E-16</v>
      </c>
      <c r="D82" s="103">
        <f t="shared" si="13"/>
        <v>-1.8926551560244125E-16</v>
      </c>
      <c r="E82" s="103">
        <f t="shared" si="8"/>
        <v>2.0330184889015162E-15</v>
      </c>
      <c r="F82" s="103">
        <f t="shared" si="9"/>
        <v>3.2352299314155255E-16</v>
      </c>
      <c r="G82" s="118">
        <f>C82/Steuerung!$D$4</f>
        <v>-1.903000222248238E-17</v>
      </c>
      <c r="H82" s="103">
        <f>D82/Steuerung!$D$2</f>
        <v>-6.3088505200813754E-17</v>
      </c>
      <c r="I82" s="57">
        <f>60*F82/Steuerung!$D$1</f>
        <v>6.4704598628310514E-18</v>
      </c>
      <c r="J82" s="103">
        <f t="shared" si="10"/>
        <v>4.5672005333957711E-16</v>
      </c>
      <c r="K82" s="57">
        <f t="shared" si="11"/>
        <v>-8.0092083564911235E-17</v>
      </c>
      <c r="L82" s="57">
        <f t="shared" si="12"/>
        <v>5.3681213690448836E-16</v>
      </c>
    </row>
    <row r="83" spans="1:12">
      <c r="A83" s="64">
        <v>68</v>
      </c>
      <c r="B83" s="64">
        <v>0</v>
      </c>
      <c r="C83" s="117">
        <f t="shared" si="7"/>
        <v>-2.6237167021957441E-16</v>
      </c>
      <c r="D83" s="103">
        <f t="shared" si="13"/>
        <v>-1.0872723691565202E-16</v>
      </c>
      <c r="E83" s="103">
        <f t="shared" si="8"/>
        <v>1.1679068011576268E-15</v>
      </c>
      <c r="F83" s="103">
        <f t="shared" si="9"/>
        <v>1.8585404219567582E-16</v>
      </c>
      <c r="G83" s="118">
        <f>C83/Steuerung!$D$4</f>
        <v>-1.09321529258156E-17</v>
      </c>
      <c r="H83" s="103">
        <f>D83/Steuerung!$D$2</f>
        <v>-3.6242412305217339E-17</v>
      </c>
      <c r="I83" s="57">
        <f>60*F83/Steuerung!$D$1</f>
        <v>3.7170808439135162E-18</v>
      </c>
      <c r="J83" s="103">
        <f t="shared" si="10"/>
        <v>2.6237167021957441E-16</v>
      </c>
      <c r="K83" s="57">
        <f t="shared" si="11"/>
        <v>-4.6010446842953469E-17</v>
      </c>
      <c r="L83" s="57">
        <f t="shared" si="12"/>
        <v>3.0838211706252787E-16</v>
      </c>
    </row>
    <row r="84" spans="1:12">
      <c r="A84" s="64">
        <v>69</v>
      </c>
      <c r="B84" s="64">
        <v>0</v>
      </c>
      <c r="C84" s="117">
        <f t="shared" si="7"/>
        <v>-1.5072448172672318E-16</v>
      </c>
      <c r="D84" s="103">
        <f t="shared" si="13"/>
        <v>-6.2460464652969486E-17</v>
      </c>
      <c r="E84" s="103">
        <f t="shared" si="8"/>
        <v>6.7092665592394214E-16</v>
      </c>
      <c r="F84" s="103">
        <f t="shared" si="9"/>
        <v>1.0676745001972346E-16</v>
      </c>
      <c r="G84" s="118">
        <f>C84/Steuerung!$D$4</f>
        <v>-6.280186738613466E-18</v>
      </c>
      <c r="H84" s="103">
        <f>D84/Steuerung!$D$2</f>
        <v>-2.0820154884323161E-17</v>
      </c>
      <c r="I84" s="57">
        <f>60*F84/Steuerung!$D$1</f>
        <v>2.135349000394469E-18</v>
      </c>
      <c r="J84" s="103">
        <f t="shared" si="10"/>
        <v>1.5072448172672318E-16</v>
      </c>
      <c r="K84" s="57">
        <f t="shared" si="11"/>
        <v>-2.6431591294195007E-17</v>
      </c>
      <c r="L84" s="57">
        <f t="shared" si="12"/>
        <v>1.7715607302091818E-16</v>
      </c>
    </row>
    <row r="85" spans="1:12">
      <c r="A85" s="64">
        <v>70</v>
      </c>
      <c r="B85" s="64">
        <v>0</v>
      </c>
      <c r="C85" s="117">
        <f t="shared" si="7"/>
        <v>-8.6586594401663513E-17</v>
      </c>
      <c r="D85" s="103">
        <f t="shared" si="13"/>
        <v>-3.5881622262611096E-17</v>
      </c>
      <c r="E85" s="103">
        <f t="shared" si="8"/>
        <v>3.8542679705529881E-16</v>
      </c>
      <c r="F85" s="103">
        <f t="shared" si="9"/>
        <v>6.1334627157113123E-17</v>
      </c>
      <c r="G85" s="118">
        <f>C85/Steuerung!$D$4</f>
        <v>-3.6077747667359797E-18</v>
      </c>
      <c r="H85" s="103">
        <f>D85/Steuerung!$D$2</f>
        <v>-1.1960540754203698E-17</v>
      </c>
      <c r="I85" s="57">
        <f>60*F85/Steuerung!$D$1</f>
        <v>1.2266925431422625E-18</v>
      </c>
      <c r="J85" s="103">
        <f t="shared" si="10"/>
        <v>8.6586594401663513E-17</v>
      </c>
      <c r="K85" s="57">
        <f t="shared" si="11"/>
        <v>-1.5184138957136882E-17</v>
      </c>
      <c r="L85" s="57">
        <f t="shared" si="12"/>
        <v>1.0177073335880039E-16</v>
      </c>
    </row>
    <row r="86" spans="1:12">
      <c r="A86" s="64">
        <v>71</v>
      </c>
      <c r="B86" s="64">
        <v>0</v>
      </c>
      <c r="C86" s="117">
        <f t="shared" si="7"/>
        <v>-4.9741344234119457E-17</v>
      </c>
      <c r="D86" s="103">
        <f t="shared" si="13"/>
        <v>-2.0612892064604556E-17</v>
      </c>
      <c r="E86" s="103">
        <f t="shared" si="8"/>
        <v>2.2141587992763684E-16</v>
      </c>
      <c r="F86" s="103">
        <f t="shared" si="9"/>
        <v>3.5234863132978491E-17</v>
      </c>
      <c r="G86" s="118">
        <f>C86/Steuerung!$D$4</f>
        <v>-2.0725560097549773E-18</v>
      </c>
      <c r="H86" s="103">
        <f>D86/Steuerung!$D$2</f>
        <v>-6.8709640215348517E-18</v>
      </c>
      <c r="I86" s="57">
        <f>60*F86/Steuerung!$D$1</f>
        <v>7.0469726265956979E-19</v>
      </c>
      <c r="J86" s="103">
        <f t="shared" si="10"/>
        <v>4.9741344234119457E-17</v>
      </c>
      <c r="K86" s="57">
        <f t="shared" si="11"/>
        <v>-8.7228223720407585E-18</v>
      </c>
      <c r="L86" s="57">
        <f t="shared" si="12"/>
        <v>5.8464166606160216E-17</v>
      </c>
    </row>
    <row r="87" spans="1:12">
      <c r="A87" s="64">
        <v>72</v>
      </c>
      <c r="B87" s="64">
        <v>0</v>
      </c>
      <c r="C87" s="117">
        <f t="shared" si="7"/>
        <v>-2.8574877477449731E-17</v>
      </c>
      <c r="D87" s="103">
        <f t="shared" si="13"/>
        <v>-1.1841474617767692E-17</v>
      </c>
      <c r="E87" s="103">
        <f t="shared" si="8"/>
        <v>1.2719663567423381E-16</v>
      </c>
      <c r="F87" s="103">
        <f t="shared" si="9"/>
        <v>2.0241348770565534E-17</v>
      </c>
      <c r="G87" s="118">
        <f>C87/Steuerung!$D$4</f>
        <v>-1.1906198948937389E-18</v>
      </c>
      <c r="H87" s="103">
        <f>D87/Steuerung!$D$2</f>
        <v>-3.9471582059225641E-18</v>
      </c>
      <c r="I87" s="57">
        <f>60*F87/Steuerung!$D$1</f>
        <v>4.0482697541131071E-19</v>
      </c>
      <c r="J87" s="103">
        <f t="shared" si="10"/>
        <v>2.8574877477449731E-17</v>
      </c>
      <c r="K87" s="57">
        <f t="shared" si="11"/>
        <v>-5.0109940609053678E-18</v>
      </c>
      <c r="L87" s="57">
        <f t="shared" si="12"/>
        <v>3.3585871538355098E-17</v>
      </c>
    </row>
    <row r="88" spans="1:12">
      <c r="A88" s="64">
        <v>73</v>
      </c>
      <c r="B88" s="64">
        <v>0</v>
      </c>
      <c r="C88" s="117">
        <f t="shared" si="7"/>
        <v>-1.6415391168523741E-17</v>
      </c>
      <c r="D88" s="103">
        <f t="shared" si="13"/>
        <v>-6.8025641760389511E-18</v>
      </c>
      <c r="E88" s="103">
        <f t="shared" si="8"/>
        <v>7.307056807366927E-17</v>
      </c>
      <c r="F88" s="103">
        <f t="shared" si="9"/>
        <v>1.1628034384734131E-17</v>
      </c>
      <c r="G88" s="118">
        <f>C88/Steuerung!$D$4</f>
        <v>-6.8397463202182256E-19</v>
      </c>
      <c r="H88" s="103">
        <f>D88/Steuerung!$D$2</f>
        <v>-2.2675213920129836E-18</v>
      </c>
      <c r="I88" s="57">
        <f>60*F88/Steuerung!$D$1</f>
        <v>2.3256068769468263E-19</v>
      </c>
      <c r="J88" s="103">
        <f t="shared" si="10"/>
        <v>1.6415391168523741E-17</v>
      </c>
      <c r="K88" s="57">
        <f t="shared" si="11"/>
        <v>-2.878662479579326E-18</v>
      </c>
      <c r="L88" s="57">
        <f t="shared" si="12"/>
        <v>1.9294053648103067E-17</v>
      </c>
    </row>
    <row r="89" spans="1:12">
      <c r="A89" s="64">
        <v>74</v>
      </c>
      <c r="B89" s="64">
        <v>0</v>
      </c>
      <c r="C89" s="117">
        <f t="shared" si="7"/>
        <v>-9.4301390243335038E-18</v>
      </c>
      <c r="D89" s="103">
        <f t="shared" si="13"/>
        <v>-3.9078645914331276E-18</v>
      </c>
      <c r="E89" s="103">
        <f t="shared" si="8"/>
        <v>4.1976801432730954E-17</v>
      </c>
      <c r="F89" s="103">
        <f t="shared" si="9"/>
        <v>6.6799493050176567E-18</v>
      </c>
      <c r="G89" s="118">
        <f>C89/Steuerung!$D$4</f>
        <v>-3.9292245934722931E-19</v>
      </c>
      <c r="H89" s="103">
        <f>D89/Steuerung!$D$2</f>
        <v>-1.3026215304777093E-18</v>
      </c>
      <c r="I89" s="57">
        <f>60*F89/Steuerung!$D$1</f>
        <v>1.3359898610035312E-19</v>
      </c>
      <c r="J89" s="103">
        <f t="shared" si="10"/>
        <v>9.4301390243335038E-18</v>
      </c>
      <c r="K89" s="57">
        <f t="shared" si="11"/>
        <v>-1.6537033511950691E-18</v>
      </c>
      <c r="L89" s="57">
        <f t="shared" si="12"/>
        <v>1.1083842375528572E-17</v>
      </c>
    </row>
    <row r="90" spans="1:12">
      <c r="A90" s="64">
        <v>75</v>
      </c>
      <c r="B90" s="64">
        <v>0</v>
      </c>
      <c r="C90" s="117">
        <f t="shared" si="7"/>
        <v>-5.4173257953654368E-18</v>
      </c>
      <c r="D90" s="103">
        <f t="shared" si="13"/>
        <v>-2.2449484150062303E-18</v>
      </c>
      <c r="E90" s="103">
        <f t="shared" si="8"/>
        <v>2.4114385654514609E-17</v>
      </c>
      <c r="F90" s="103">
        <f t="shared" si="9"/>
        <v>3.8374261067018797E-18</v>
      </c>
      <c r="G90" s="118">
        <f>C90/Steuerung!$D$4</f>
        <v>-2.2572190814022655E-19</v>
      </c>
      <c r="H90" s="103">
        <f>D90/Steuerung!$D$2</f>
        <v>-7.4831613833541013E-19</v>
      </c>
      <c r="I90" s="57">
        <f>60*F90/Steuerung!$D$1</f>
        <v>7.6748522134037602E-20</v>
      </c>
      <c r="J90" s="103">
        <f t="shared" si="10"/>
        <v>5.4173257953654368E-18</v>
      </c>
      <c r="K90" s="57">
        <f t="shared" si="11"/>
        <v>-9.5000188217739336E-19</v>
      </c>
      <c r="L90" s="57">
        <f t="shared" si="12"/>
        <v>6.36732767754283E-18</v>
      </c>
    </row>
    <row r="91" spans="1:12">
      <c r="A91" s="64">
        <v>76</v>
      </c>
      <c r="B91" s="64">
        <v>0</v>
      </c>
      <c r="C91" s="117">
        <f t="shared" si="7"/>
        <v>-3.1120876052202163E-18</v>
      </c>
      <c r="D91" s="103">
        <f t="shared" si="13"/>
        <v>-1.2896540471456679E-18</v>
      </c>
      <c r="E91" s="103">
        <f t="shared" si="8"/>
        <v>1.3852975349409041E-17</v>
      </c>
      <c r="F91" s="103">
        <f t="shared" si="9"/>
        <v>2.2044836647691027E-18</v>
      </c>
      <c r="G91" s="118">
        <f>C91/Steuerung!$D$4</f>
        <v>-1.2967031688417568E-19</v>
      </c>
      <c r="H91" s="103">
        <f>D91/Steuerung!$D$2</f>
        <v>-4.2988468238188931E-19</v>
      </c>
      <c r="I91" s="57">
        <f>60*F91/Steuerung!$D$1</f>
        <v>4.4089673295382049E-20</v>
      </c>
      <c r="J91" s="103">
        <f t="shared" si="10"/>
        <v>3.1120876052202163E-18</v>
      </c>
      <c r="K91" s="57">
        <f t="shared" si="11"/>
        <v>-5.4574695968801462E-19</v>
      </c>
      <c r="L91" s="57">
        <f t="shared" si="12"/>
        <v>3.657834564908231E-18</v>
      </c>
    </row>
    <row r="92" spans="1:12">
      <c r="A92" s="64">
        <v>77</v>
      </c>
      <c r="B92" s="64">
        <v>0</v>
      </c>
      <c r="C92" s="117">
        <f t="shared" si="7"/>
        <v>-1.7877989303967966E-18</v>
      </c>
      <c r="D92" s="103">
        <f t="shared" si="13"/>
        <v>-7.4086671667000651E-19</v>
      </c>
      <c r="E92" s="103">
        <f t="shared" si="8"/>
        <v>7.9581096852619483E-18</v>
      </c>
      <c r="F92" s="103">
        <f t="shared" si="9"/>
        <v>1.2664082885521879E-18</v>
      </c>
      <c r="G92" s="118">
        <f>C92/Steuerung!$D$4</f>
        <v>-7.4491622099866525E-20</v>
      </c>
      <c r="H92" s="103">
        <f>D92/Steuerung!$D$2</f>
        <v>-2.4695557222333552E-19</v>
      </c>
      <c r="I92" s="57">
        <f>60*F92/Steuerung!$D$1</f>
        <v>2.5328165771043756E-20</v>
      </c>
      <c r="J92" s="103">
        <f t="shared" si="10"/>
        <v>1.7877989303967966E-18</v>
      </c>
      <c r="K92" s="57">
        <f t="shared" si="11"/>
        <v>-3.1351489886111189E-19</v>
      </c>
      <c r="L92" s="57">
        <f t="shared" si="12"/>
        <v>2.1013138292579086E-18</v>
      </c>
    </row>
    <row r="93" spans="1:12">
      <c r="A93" s="64">
        <v>78</v>
      </c>
      <c r="B93" s="64">
        <v>0</v>
      </c>
      <c r="C93" s="117">
        <f t="shared" si="7"/>
        <v>-1.0270356818254668E-18</v>
      </c>
      <c r="D93" s="103">
        <f t="shared" si="13"/>
        <v>-4.2560521799176617E-19</v>
      </c>
      <c r="E93" s="103">
        <f t="shared" si="8"/>
        <v>4.5716900640671185E-18</v>
      </c>
      <c r="F93" s="103">
        <f t="shared" si="9"/>
        <v>7.2751274094002525E-19</v>
      </c>
      <c r="G93" s="118">
        <f>C93/Steuerung!$D$4</f>
        <v>-4.279315340939445E-20</v>
      </c>
      <c r="H93" s="103">
        <f>D93/Steuerung!$D$2</f>
        <v>-1.4186840599725538E-19</v>
      </c>
      <c r="I93" s="57">
        <f>60*F93/Steuerung!$D$1</f>
        <v>1.4550254818800507E-20</v>
      </c>
      <c r="J93" s="103">
        <f t="shared" si="10"/>
        <v>1.0270356818254668E-18</v>
      </c>
      <c r="K93" s="57">
        <f t="shared" si="11"/>
        <v>-1.8010469882247859E-19</v>
      </c>
      <c r="L93" s="57">
        <f t="shared" si="12"/>
        <v>1.2071403806479454E-18</v>
      </c>
    </row>
    <row r="94" spans="1:12">
      <c r="A94" s="64">
        <v>79</v>
      </c>
      <c r="B94" s="64">
        <v>0</v>
      </c>
      <c r="C94" s="117">
        <f t="shared" si="7"/>
        <v>-5.9000051617023366E-19</v>
      </c>
      <c r="D94" s="103">
        <f t="shared" si="13"/>
        <v>-2.4449715111510578E-19</v>
      </c>
      <c r="E94" s="103">
        <f t="shared" si="8"/>
        <v>2.6262957999431069E-18</v>
      </c>
      <c r="F94" s="103">
        <f t="shared" si="9"/>
        <v>4.1793376829139195E-19</v>
      </c>
      <c r="G94" s="118">
        <f>C94/Steuerung!$D$4</f>
        <v>-2.4583354840426401E-20</v>
      </c>
      <c r="H94" s="103">
        <f>D94/Steuerung!$D$2</f>
        <v>-8.1499050371701921E-20</v>
      </c>
      <c r="I94" s="57">
        <f>60*F94/Steuerung!$D$1</f>
        <v>8.3586753658278398E-21</v>
      </c>
      <c r="J94" s="103">
        <f t="shared" si="10"/>
        <v>5.9000051617023366E-19</v>
      </c>
      <c r="K94" s="57">
        <f t="shared" si="11"/>
        <v>-1.0346462849379836E-19</v>
      </c>
      <c r="L94" s="57">
        <f t="shared" si="12"/>
        <v>6.9346514466403207E-19</v>
      </c>
    </row>
    <row r="95" spans="1:12">
      <c r="A95" s="64">
        <v>80</v>
      </c>
      <c r="B95" s="64">
        <v>0</v>
      </c>
      <c r="C95" s="117">
        <f t="shared" si="7"/>
        <v>-3.3893721049927256E-19</v>
      </c>
      <c r="D95" s="103">
        <f t="shared" si="13"/>
        <v>-1.4045611843170438E-19</v>
      </c>
      <c r="E95" s="103">
        <f t="shared" si="8"/>
        <v>1.5087264298627092E-18</v>
      </c>
      <c r="F95" s="103">
        <f t="shared" si="9"/>
        <v>2.4009013842500146E-19</v>
      </c>
      <c r="G95" s="118">
        <f>C95/Steuerung!$D$4</f>
        <v>-1.4122383770803022E-20</v>
      </c>
      <c r="H95" s="103">
        <f>D95/Steuerung!$D$2</f>
        <v>-4.6818706143901459E-20</v>
      </c>
      <c r="I95" s="57">
        <f>60*F95/Steuerung!$D$1</f>
        <v>4.8018027685000291E-21</v>
      </c>
      <c r="J95" s="103">
        <f t="shared" si="10"/>
        <v>3.3893721049927256E-19</v>
      </c>
      <c r="K95" s="57">
        <f t="shared" si="11"/>
        <v>-5.9437257436082213E-20</v>
      </c>
      <c r="L95" s="57">
        <f t="shared" si="12"/>
        <v>3.9837446793535477E-19</v>
      </c>
    </row>
    <row r="96" spans="1:12">
      <c r="A96" s="64">
        <v>81</v>
      </c>
      <c r="B96" s="64">
        <v>0</v>
      </c>
      <c r="C96" s="117">
        <f t="shared" si="7"/>
        <v>-1.9470903755596407E-19</v>
      </c>
      <c r="D96" s="103">
        <f t="shared" si="13"/>
        <v>-8.0687734457950176E-20</v>
      </c>
      <c r="E96" s="103">
        <f t="shared" si="8"/>
        <v>8.6671708503497071E-19</v>
      </c>
      <c r="F96" s="103">
        <f t="shared" si="9"/>
        <v>1.3792442473503671E-19</v>
      </c>
      <c r="G96" s="118">
        <f>C96/Steuerung!$D$4</f>
        <v>-8.1128765648318356E-21</v>
      </c>
      <c r="H96" s="103">
        <f>D96/Steuerung!$D$2</f>
        <v>-2.6895911485983393E-20</v>
      </c>
      <c r="I96" s="57">
        <f>60*F96/Steuerung!$D$1</f>
        <v>2.7584884947007342E-21</v>
      </c>
      <c r="J96" s="103">
        <f t="shared" si="10"/>
        <v>1.9470903755596407E-19</v>
      </c>
      <c r="K96" s="57">
        <f t="shared" si="11"/>
        <v>-3.4144882390747339E-20</v>
      </c>
      <c r="L96" s="57">
        <f t="shared" si="12"/>
        <v>2.2885391994671139E-19</v>
      </c>
    </row>
    <row r="97" spans="1:12">
      <c r="A97" s="64">
        <v>82</v>
      </c>
      <c r="B97" s="64">
        <v>0</v>
      </c>
      <c r="C97" s="117">
        <f t="shared" si="7"/>
        <v>-1.1185437341070931E-19</v>
      </c>
      <c r="D97" s="103">
        <f t="shared" si="13"/>
        <v>-4.6352630021755584E-20</v>
      </c>
      <c r="E97" s="103">
        <f t="shared" si="8"/>
        <v>4.9790239676511405E-19</v>
      </c>
      <c r="F97" s="103">
        <f t="shared" si="9"/>
        <v>7.9233354036459904E-20</v>
      </c>
      <c r="G97" s="118">
        <f>C97/Steuerung!$D$4</f>
        <v>-4.6605988921128876E-21</v>
      </c>
      <c r="H97" s="103">
        <f>D97/Steuerung!$D$2</f>
        <v>-1.5450876673918528E-20</v>
      </c>
      <c r="I97" s="57">
        <f>60*F97/Steuerung!$D$1</f>
        <v>1.5846670807291979E-21</v>
      </c>
      <c r="J97" s="103">
        <f t="shared" si="10"/>
        <v>1.1185437341070931E-19</v>
      </c>
      <c r="K97" s="57">
        <f t="shared" si="11"/>
        <v>-1.9615188246727689E-20</v>
      </c>
      <c r="L97" s="57">
        <f t="shared" si="12"/>
        <v>1.3146956165743701E-19</v>
      </c>
    </row>
    <row r="98" spans="1:12">
      <c r="A98" s="64">
        <v>83</v>
      </c>
      <c r="B98" s="64">
        <v>0</v>
      </c>
      <c r="C98" s="117">
        <f t="shared" si="7"/>
        <v>-6.4256908709264797E-20</v>
      </c>
      <c r="D98" s="103">
        <f t="shared" si="13"/>
        <v>-2.662816504103813E-20</v>
      </c>
      <c r="E98" s="103">
        <f t="shared" si="8"/>
        <v>2.8602966410249365E-19</v>
      </c>
      <c r="F98" s="103">
        <f t="shared" si="9"/>
        <v>4.551713305259288E-20</v>
      </c>
      <c r="G98" s="118">
        <f>C98/Steuerung!$D$4</f>
        <v>-2.6773711962193667E-21</v>
      </c>
      <c r="H98" s="103">
        <f>D98/Steuerung!$D$2</f>
        <v>-8.8760550136793768E-21</v>
      </c>
      <c r="I98" s="57">
        <f>60*F98/Steuerung!$D$1</f>
        <v>9.1034266105185747E-22</v>
      </c>
      <c r="J98" s="103">
        <f t="shared" si="10"/>
        <v>6.4256908709264797E-20</v>
      </c>
      <c r="K98" s="57">
        <f t="shared" si="11"/>
        <v>-1.1268324358288784E-20</v>
      </c>
      <c r="L98" s="57">
        <f t="shared" si="12"/>
        <v>7.5525233067553578E-20</v>
      </c>
    </row>
    <row r="99" spans="1:12">
      <c r="A99" s="64">
        <v>84</v>
      </c>
      <c r="B99" s="64">
        <v>0</v>
      </c>
      <c r="C99" s="117">
        <f t="shared" si="7"/>
        <v>-3.6913624304255168E-20</v>
      </c>
      <c r="D99" s="103">
        <f t="shared" si="13"/>
        <v>-1.5297064548871753E-20</v>
      </c>
      <c r="E99" s="103">
        <f t="shared" si="8"/>
        <v>1.6431527399371142E-19</v>
      </c>
      <c r="F99" s="103">
        <f t="shared" si="9"/>
        <v>2.6148197643811494E-20</v>
      </c>
      <c r="G99" s="118">
        <f>C99/Steuerung!$D$4</f>
        <v>-1.5380676793439654E-21</v>
      </c>
      <c r="H99" s="103">
        <f>D99/Steuerung!$D$2</f>
        <v>-5.0990215162905842E-21</v>
      </c>
      <c r="I99" s="57">
        <f>60*F99/Steuerung!$D$1</f>
        <v>5.2296395287622989E-22</v>
      </c>
      <c r="J99" s="103">
        <f t="shared" si="10"/>
        <v>3.6913624304255168E-20</v>
      </c>
      <c r="K99" s="57">
        <f t="shared" si="11"/>
        <v>-6.4733069214763699E-21</v>
      </c>
      <c r="L99" s="57">
        <f t="shared" si="12"/>
        <v>4.3386931225731535E-20</v>
      </c>
    </row>
    <row r="100" spans="1:12">
      <c r="A100" s="64">
        <v>85</v>
      </c>
      <c r="B100" s="64">
        <v>0</v>
      </c>
      <c r="C100" s="117">
        <f t="shared" si="7"/>
        <v>-2.120574560225039E-20</v>
      </c>
      <c r="D100" s="103">
        <f t="shared" si="13"/>
        <v>-8.7876946628398245E-21</v>
      </c>
      <c r="E100" s="103">
        <f t="shared" si="8"/>
        <v>9.43940879431081E-20</v>
      </c>
      <c r="F100" s="103">
        <f t="shared" si="9"/>
        <v>1.5021337992219622E-20</v>
      </c>
      <c r="G100" s="118">
        <f>C100/Steuerung!$D$4</f>
        <v>-8.8357273342709953E-22</v>
      </c>
      <c r="H100" s="103">
        <f>D100/Steuerung!$D$2</f>
        <v>-2.9292315542799414E-21</v>
      </c>
      <c r="I100" s="57">
        <f>60*F100/Steuerung!$D$1</f>
        <v>3.0042675984439243E-22</v>
      </c>
      <c r="J100" s="103">
        <f t="shared" si="10"/>
        <v>2.120574560225039E-20</v>
      </c>
      <c r="K100" s="57">
        <f t="shared" si="11"/>
        <v>-3.7187163918307231E-21</v>
      </c>
      <c r="L100" s="57">
        <f t="shared" si="12"/>
        <v>2.4924461994081115E-20</v>
      </c>
    </row>
    <row r="101" spans="1:12">
      <c r="A101" s="64">
        <v>86</v>
      </c>
      <c r="B101" s="64">
        <v>0</v>
      </c>
      <c r="C101" s="117">
        <f t="shared" si="7"/>
        <v>-1.2182050801647383E-20</v>
      </c>
      <c r="D101" s="103">
        <f t="shared" si="13"/>
        <v>-5.0482612033561192E-21</v>
      </c>
      <c r="E101" s="103">
        <f t="shared" si="8"/>
        <v>5.4226509940592829E-20</v>
      </c>
      <c r="F101" s="103">
        <f t="shared" si="9"/>
        <v>8.6292982082420171E-21</v>
      </c>
      <c r="G101" s="118">
        <f>C101/Steuerung!$D$4</f>
        <v>-5.0758545006864097E-22</v>
      </c>
      <c r="H101" s="103">
        <f>D101/Steuerung!$D$2</f>
        <v>-1.6827537344520397E-21</v>
      </c>
      <c r="I101" s="57">
        <f>60*F101/Steuerung!$D$1</f>
        <v>1.7258596416484034E-22</v>
      </c>
      <c r="J101" s="103">
        <f t="shared" si="10"/>
        <v>1.2182050801647383E-20</v>
      </c>
      <c r="K101" s="57">
        <f t="shared" si="11"/>
        <v>-2.1362885725363614E-21</v>
      </c>
      <c r="L101" s="57">
        <f t="shared" si="12"/>
        <v>1.4318339374183744E-20</v>
      </c>
    </row>
    <row r="102" spans="1:12">
      <c r="A102" s="64">
        <v>87</v>
      </c>
      <c r="B102" s="64">
        <v>0</v>
      </c>
      <c r="C102" s="117">
        <f t="shared" si="7"/>
        <v>-6.998214753560417E-21</v>
      </c>
      <c r="D102" s="103">
        <f t="shared" si="13"/>
        <v>-2.900071310519895E-21</v>
      </c>
      <c r="E102" s="103">
        <f t="shared" si="8"/>
        <v>3.1151467686297039E-20</v>
      </c>
      <c r="F102" s="103">
        <f t="shared" si="9"/>
        <v>4.9572672957188163E-21</v>
      </c>
      <c r="G102" s="118">
        <f>C102/Steuerung!$D$4</f>
        <v>-2.9159228139835072E-22</v>
      </c>
      <c r="H102" s="103">
        <f>D102/Steuerung!$D$2</f>
        <v>-9.6669043683996501E-22</v>
      </c>
      <c r="I102" s="57">
        <f>60*F102/Steuerung!$D$1</f>
        <v>9.9145345914376326E-23</v>
      </c>
      <c r="J102" s="103">
        <f t="shared" si="10"/>
        <v>6.998214753560417E-21</v>
      </c>
      <c r="K102" s="57">
        <f t="shared" si="11"/>
        <v>-1.2272322985358726E-21</v>
      </c>
      <c r="L102" s="57">
        <f t="shared" si="12"/>
        <v>8.22544705209629E-21</v>
      </c>
    </row>
    <row r="103" spans="1:12">
      <c r="A103" s="64">
        <v>88</v>
      </c>
      <c r="B103" s="64">
        <v>0</v>
      </c>
      <c r="C103" s="117">
        <f t="shared" si="7"/>
        <v>-4.0202598506917891E-21</v>
      </c>
      <c r="D103" s="103">
        <f t="shared" si="13"/>
        <v>-1.6660020682981459E-21</v>
      </c>
      <c r="E103" s="103">
        <f t="shared" si="8"/>
        <v>1.7895563259990979E-20</v>
      </c>
      <c r="F103" s="103">
        <f t="shared" si="9"/>
        <v>2.8477980999349108E-21</v>
      </c>
      <c r="G103" s="118">
        <f>C103/Steuerung!$D$4</f>
        <v>-1.6751082711215787E-22</v>
      </c>
      <c r="H103" s="103">
        <f>D103/Steuerung!$D$2</f>
        <v>-5.553340227660486E-22</v>
      </c>
      <c r="I103" s="57">
        <f>60*F103/Steuerung!$D$1</f>
        <v>5.695596199869821E-23</v>
      </c>
      <c r="J103" s="103">
        <f t="shared" si="10"/>
        <v>4.0202598506917891E-21</v>
      </c>
      <c r="K103" s="57">
        <f t="shared" si="11"/>
        <v>-7.0500733558738652E-22</v>
      </c>
      <c r="L103" s="57">
        <f t="shared" si="12"/>
        <v>4.7252671862791754E-21</v>
      </c>
    </row>
    <row r="104" spans="1:12">
      <c r="A104" s="64">
        <v>89</v>
      </c>
      <c r="B104" s="64">
        <v>0</v>
      </c>
      <c r="C104" s="117">
        <f t="shared" si="7"/>
        <v>-2.3095160460546779E-21</v>
      </c>
      <c r="D104" s="103">
        <f t="shared" si="13"/>
        <v>-9.5706711814480354E-22</v>
      </c>
      <c r="E104" s="103">
        <f t="shared" si="8"/>
        <v>1.0280452517272936E-20</v>
      </c>
      <c r="F104" s="103">
        <f t="shared" si="9"/>
        <v>1.6359727112146621E-21</v>
      </c>
      <c r="G104" s="118">
        <f>C104/Steuerung!$D$4</f>
        <v>-9.6229835252278243E-23</v>
      </c>
      <c r="H104" s="103">
        <f>D104/Steuerung!$D$2</f>
        <v>-3.190223727149345E-22</v>
      </c>
      <c r="I104" s="57">
        <f>60*F104/Steuerung!$D$1</f>
        <v>3.2719454224293239E-23</v>
      </c>
      <c r="J104" s="103">
        <f t="shared" si="10"/>
        <v>2.3095160460546779E-21</v>
      </c>
      <c r="K104" s="57">
        <f t="shared" si="11"/>
        <v>-4.0500510280327929E-22</v>
      </c>
      <c r="L104" s="57">
        <f t="shared" si="12"/>
        <v>2.714521148857957E-21</v>
      </c>
    </row>
    <row r="105" spans="1:12">
      <c r="A105" s="64">
        <v>90</v>
      </c>
      <c r="B105" s="64">
        <v>0</v>
      </c>
      <c r="C105" s="117">
        <f t="shared" si="7"/>
        <v>-1.3267461719088142E-21</v>
      </c>
      <c r="D105" s="103">
        <f t="shared" si="13"/>
        <v>-5.49805721171576E-22</v>
      </c>
      <c r="E105" s="103">
        <f t="shared" si="8"/>
        <v>5.9058048313119557E-21</v>
      </c>
      <c r="F105" s="103">
        <f t="shared" si="9"/>
        <v>9.398161730286371E-22</v>
      </c>
      <c r="G105" s="118">
        <f>C105/Steuerung!$D$4</f>
        <v>-5.5281090496200586E-23</v>
      </c>
      <c r="H105" s="103">
        <f>D105/Steuerung!$D$2</f>
        <v>-1.8326857372385867E-22</v>
      </c>
      <c r="I105" s="57">
        <f>60*F105/Steuerung!$D$1</f>
        <v>1.8796323460572743E-23</v>
      </c>
      <c r="J105" s="103">
        <f t="shared" si="10"/>
        <v>1.3267461719088142E-21</v>
      </c>
      <c r="K105" s="57">
        <f t="shared" si="11"/>
        <v>-2.3266301642100175E-22</v>
      </c>
      <c r="L105" s="57">
        <f t="shared" si="12"/>
        <v>1.5594091883298158E-21</v>
      </c>
    </row>
    <row r="106" spans="1:12">
      <c r="A106" s="64">
        <v>91</v>
      </c>
      <c r="B106" s="64">
        <v>0</v>
      </c>
      <c r="C106" s="117">
        <f t="shared" si="7"/>
        <v>-7.6217500531408674E-22</v>
      </c>
      <c r="D106" s="103">
        <f t="shared" si="13"/>
        <v>-3.1584653291501036E-22</v>
      </c>
      <c r="E106" s="103">
        <f t="shared" si="8"/>
        <v>3.3927038373987609E-21</v>
      </c>
      <c r="F106" s="103">
        <f t="shared" si="9"/>
        <v>5.3989558201762587E-22</v>
      </c>
      <c r="G106" s="118">
        <f>C106/Steuerung!$D$4</f>
        <v>-3.175729188808695E-23</v>
      </c>
      <c r="H106" s="103">
        <f>D106/Steuerung!$D$2</f>
        <v>-1.0528217763833678E-22</v>
      </c>
      <c r="I106" s="57">
        <f>60*F106/Steuerung!$D$1</f>
        <v>1.0797911640352516E-23</v>
      </c>
      <c r="J106" s="103">
        <f t="shared" si="10"/>
        <v>7.6217500531408674E-22</v>
      </c>
      <c r="K106" s="57">
        <f t="shared" si="11"/>
        <v>-1.3365777081681014E-22</v>
      </c>
      <c r="L106" s="57">
        <f t="shared" si="12"/>
        <v>8.9583277613089686E-22</v>
      </c>
    </row>
    <row r="107" spans="1:12">
      <c r="A107" s="64">
        <v>92</v>
      </c>
      <c r="B107" s="64">
        <v>0</v>
      </c>
      <c r="C107" s="117">
        <f t="shared" si="7"/>
        <v>-4.3784617662756199E-22</v>
      </c>
      <c r="D107" s="103">
        <f t="shared" si="13"/>
        <v>-1.8144415111188211E-22</v>
      </c>
      <c r="E107" s="103">
        <f t="shared" si="8"/>
        <v>1.9490043536950522E-21</v>
      </c>
      <c r="F107" s="103">
        <f t="shared" si="9"/>
        <v>3.1015346175923811E-22</v>
      </c>
      <c r="G107" s="118">
        <f>C107/Steuerung!$D$4</f>
        <v>-1.8243590692815083E-23</v>
      </c>
      <c r="H107" s="103">
        <f>D107/Steuerung!$D$2</f>
        <v>-6.0481383703960703E-23</v>
      </c>
      <c r="I107" s="57">
        <f>60*F107/Steuerung!$D$1</f>
        <v>6.2030692351847618E-24</v>
      </c>
      <c r="J107" s="103">
        <f t="shared" si="10"/>
        <v>4.3784617662756199E-22</v>
      </c>
      <c r="K107" s="57">
        <f t="shared" si="11"/>
        <v>-7.6782292151639024E-23</v>
      </c>
      <c r="L107" s="57">
        <f t="shared" si="12"/>
        <v>5.14628468779201E-22</v>
      </c>
    </row>
    <row r="108" spans="1:12">
      <c r="A108" s="64">
        <v>93</v>
      </c>
      <c r="B108" s="64">
        <v>0</v>
      </c>
      <c r="C108" s="117">
        <f t="shared" si="7"/>
        <v>-2.5152920661360722E-22</v>
      </c>
      <c r="D108" s="103">
        <f t="shared" si="13"/>
        <v>-1.0423410277411625E-22</v>
      </c>
      <c r="E108" s="103">
        <f t="shared" si="8"/>
        <v>1.1196432558742673E-21</v>
      </c>
      <c r="F108" s="103">
        <f t="shared" si="9"/>
        <v>1.781736562498834E-22</v>
      </c>
      <c r="G108" s="118">
        <f>C108/Steuerung!$D$4</f>
        <v>-1.0480383608900301E-23</v>
      </c>
      <c r="H108" s="103">
        <f>D108/Steuerung!$D$2</f>
        <v>-3.4744700924705415E-23</v>
      </c>
      <c r="I108" s="57">
        <f>60*F108/Steuerung!$D$1</f>
        <v>3.5634731249976682E-24</v>
      </c>
      <c r="J108" s="103">
        <f t="shared" si="10"/>
        <v>2.5152920661360722E-22</v>
      </c>
      <c r="K108" s="57">
        <f t="shared" si="11"/>
        <v>-4.4109073135298542E-23</v>
      </c>
      <c r="L108" s="57">
        <f t="shared" si="12"/>
        <v>2.9563827974890573E-22</v>
      </c>
    </row>
    <row r="109" spans="1:12">
      <c r="A109" s="64">
        <v>94</v>
      </c>
      <c r="B109" s="64">
        <v>0</v>
      </c>
      <c r="C109" s="117">
        <f t="shared" si="7"/>
        <v>-1.4449581875300118E-22</v>
      </c>
      <c r="D109" s="103">
        <f t="shared" si="13"/>
        <v>-5.9879296822445476E-23</v>
      </c>
      <c r="E109" s="103">
        <f t="shared" si="8"/>
        <v>6.4320072864284245E-22</v>
      </c>
      <c r="F109" s="103">
        <f t="shared" si="9"/>
        <v>1.0235530373056054E-22</v>
      </c>
      <c r="G109" s="118">
        <f>C109/Steuerung!$D$4</f>
        <v>-6.0206591147083822E-24</v>
      </c>
      <c r="H109" s="103">
        <f>D109/Steuerung!$D$2</f>
        <v>-1.9959765607481826E-23</v>
      </c>
      <c r="I109" s="57">
        <f>60*F109/Steuerung!$D$1</f>
        <v>2.047106074611211E-24</v>
      </c>
      <c r="J109" s="103">
        <f t="shared" si="10"/>
        <v>1.4449581875300118E-22</v>
      </c>
      <c r="K109" s="57">
        <f t="shared" si="11"/>
        <v>-2.5339310384387663E-23</v>
      </c>
      <c r="L109" s="57">
        <f t="shared" si="12"/>
        <v>1.6983512913738885E-22</v>
      </c>
    </row>
    <row r="110" spans="1:12">
      <c r="A110" s="64">
        <v>95</v>
      </c>
      <c r="B110" s="64">
        <v>0</v>
      </c>
      <c r="C110" s="117">
        <f t="shared" si="7"/>
        <v>-8.3008418458433813E-23</v>
      </c>
      <c r="D110" s="103">
        <f t="shared" si="13"/>
        <v>-3.4398820467814283E-23</v>
      </c>
      <c r="E110" s="103">
        <f t="shared" si="8"/>
        <v>3.6949910175062187E-22</v>
      </c>
      <c r="F110" s="103">
        <f t="shared" si="9"/>
        <v>5.8799984365153065E-23</v>
      </c>
      <c r="G110" s="118">
        <f>C110/Steuerung!$D$4</f>
        <v>-3.4586841024347425E-24</v>
      </c>
      <c r="H110" s="103">
        <f>D110/Steuerung!$D$2</f>
        <v>-1.1466273489271428E-23</v>
      </c>
      <c r="I110" s="57">
        <f>60*F110/Steuerung!$D$1</f>
        <v>1.1759996873030613E-24</v>
      </c>
      <c r="J110" s="103">
        <f t="shared" si="10"/>
        <v>8.3008418458433813E-23</v>
      </c>
      <c r="K110" s="57">
        <f t="shared" si="11"/>
        <v>-1.4556657057536495E-23</v>
      </c>
      <c r="L110" s="57">
        <f t="shared" si="12"/>
        <v>9.7565075515970314E-23</v>
      </c>
    </row>
    <row r="111" spans="1:12">
      <c r="A111" s="64">
        <v>96</v>
      </c>
      <c r="B111" s="64">
        <v>0</v>
      </c>
      <c r="C111" s="117">
        <f t="shared" si="7"/>
        <v>-4.7685791841138251E-23</v>
      </c>
      <c r="D111" s="103">
        <f t="shared" si="13"/>
        <v>-1.9761067887713945E-23</v>
      </c>
      <c r="E111" s="103">
        <f t="shared" si="8"/>
        <v>2.1226590722711818E-22</v>
      </c>
      <c r="F111" s="103">
        <f t="shared" si="9"/>
        <v>3.377878854664516E-23</v>
      </c>
      <c r="G111" s="118">
        <f>C111/Steuerung!$D$4</f>
        <v>-1.9869079933807605E-24</v>
      </c>
      <c r="H111" s="103">
        <f>D111/Steuerung!$D$2</f>
        <v>-6.5870226292379819E-24</v>
      </c>
      <c r="I111" s="57">
        <f>60*F111/Steuerung!$D$1</f>
        <v>6.7557577093290317E-25</v>
      </c>
      <c r="J111" s="103">
        <f t="shared" si="10"/>
        <v>4.7685791841138251E-23</v>
      </c>
      <c r="K111" s="57">
        <f t="shared" si="11"/>
        <v>-8.362353255725653E-24</v>
      </c>
      <c r="L111" s="57">
        <f t="shared" si="12"/>
        <v>5.6048145096863901E-23</v>
      </c>
    </row>
    <row r="112" spans="1:12">
      <c r="A112" s="64">
        <v>97</v>
      </c>
      <c r="B112" s="64">
        <v>0</v>
      </c>
      <c r="C112" s="117">
        <f t="shared" si="7"/>
        <v>-2.7394025639158904E-23</v>
      </c>
      <c r="D112" s="103">
        <f t="shared" si="13"/>
        <v>-1.135212774020015E-23</v>
      </c>
      <c r="E112" s="103">
        <f t="shared" si="8"/>
        <v>1.219402568436033E-22</v>
      </c>
      <c r="F112" s="103">
        <f t="shared" si="9"/>
        <v>1.9404878555633882E-23</v>
      </c>
      <c r="G112" s="118">
        <f>C112/Steuerung!$D$4</f>
        <v>-1.1414177349649543E-24</v>
      </c>
      <c r="H112" s="103">
        <f>D112/Steuerung!$D$2</f>
        <v>-3.784042580066717E-24</v>
      </c>
      <c r="I112" s="57">
        <f>60*F112/Steuerung!$D$1</f>
        <v>3.8809757111267761E-25</v>
      </c>
      <c r="J112" s="103">
        <f t="shared" si="10"/>
        <v>2.7394025639158904E-23</v>
      </c>
      <c r="K112" s="57">
        <f t="shared" si="11"/>
        <v>-4.8039156035032604E-24</v>
      </c>
      <c r="L112" s="57">
        <f t="shared" si="12"/>
        <v>3.2197941242662164E-23</v>
      </c>
    </row>
    <row r="113" spans="1:12">
      <c r="A113" s="64">
        <v>98</v>
      </c>
      <c r="B113" s="64">
        <v>0</v>
      </c>
      <c r="C113" s="117">
        <f t="shared" si="7"/>
        <v>-1.5737027985587559E-23</v>
      </c>
      <c r="D113" s="103">
        <f t="shared" si="13"/>
        <v>-6.5214493954521894E-24</v>
      </c>
      <c r="E113" s="103">
        <f t="shared" si="8"/>
        <v>7.0050939565976085E-23</v>
      </c>
      <c r="F113" s="103">
        <f t="shared" si="9"/>
        <v>1.1147507887647373E-23</v>
      </c>
      <c r="G113" s="118">
        <f>C113/Steuerung!$D$4</f>
        <v>-6.5570949939948161E-25</v>
      </c>
      <c r="H113" s="103">
        <f>D113/Steuerung!$D$2</f>
        <v>-2.1738164651507299E-24</v>
      </c>
      <c r="I113" s="57">
        <f>60*F113/Steuerung!$D$1</f>
        <v>2.2295015775294745E-25</v>
      </c>
      <c r="J113" s="103">
        <f t="shared" si="10"/>
        <v>1.5737027985587559E-23</v>
      </c>
      <c r="K113" s="57">
        <f t="shared" si="11"/>
        <v>-2.7597022536426566E-24</v>
      </c>
      <c r="L113" s="57">
        <f t="shared" si="12"/>
        <v>1.8496730239230215E-23</v>
      </c>
    </row>
    <row r="114" spans="1:12">
      <c r="A114" s="64">
        <v>99</v>
      </c>
      <c r="B114" s="64">
        <v>0</v>
      </c>
      <c r="C114" s="117">
        <f t="shared" si="7"/>
        <v>-9.0404401704710476E-24</v>
      </c>
      <c r="D114" s="103">
        <f t="shared" si="13"/>
        <v>-3.7463727673569925E-24</v>
      </c>
      <c r="E114" s="103">
        <f t="shared" si="8"/>
        <v>4.0242117419596448E-23</v>
      </c>
      <c r="F114" s="103">
        <f t="shared" si="9"/>
        <v>6.4039015626346995E-24</v>
      </c>
      <c r="G114" s="118">
        <f>C114/Steuerung!$D$4</f>
        <v>-3.7668500710296033E-25</v>
      </c>
      <c r="H114" s="103">
        <f>D114/Steuerung!$D$2</f>
        <v>-1.2487909224523308E-24</v>
      </c>
      <c r="I114" s="57">
        <f>60*F114/Steuerung!$D$1</f>
        <v>1.2807803125269399E-25</v>
      </c>
      <c r="J114" s="103">
        <f t="shared" si="10"/>
        <v>9.0404401704710476E-24</v>
      </c>
      <c r="K114" s="57">
        <f t="shared" si="11"/>
        <v>-1.5853643480344273E-24</v>
      </c>
      <c r="L114" s="57">
        <f t="shared" si="12"/>
        <v>1.0625804518505475E-23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Steuerung</vt:lpstr>
      <vt:lpstr>Steuerung_2</vt:lpstr>
      <vt:lpstr>Regelung</vt:lpstr>
      <vt:lpstr>Regelung_2</vt:lpstr>
      <vt:lpstr>Zustandsmodell</vt:lpstr>
      <vt:lpstr>Zustandsregler</vt:lpstr>
      <vt:lpstr>Zustandsregler mit Störgröße</vt:lpstr>
      <vt:lpstr>Zustandsregler mit I_Regler</vt:lpstr>
      <vt:lpstr>Zustandsregler_optimal</vt:lpstr>
      <vt:lpstr>Z-Regler</vt:lpstr>
      <vt:lpstr>Aufgabe 6.1</vt:lpstr>
      <vt:lpstr>Aufgabe 6.2</vt:lpstr>
      <vt:lpstr>Aufgabe 6.3</vt:lpstr>
      <vt:lpstr>Aufgabe 6.5</vt:lpstr>
      <vt:lpstr>Aufgabe 6.6</vt:lpstr>
      <vt:lpstr>Aufgabe 6.6P</vt:lpstr>
      <vt:lpstr>Aufgabe 6.7</vt:lpstr>
      <vt:lpstr>Aufgabe 6.9</vt:lpstr>
      <vt:lpstr>Aufgabe 6.18a</vt:lpstr>
      <vt:lpstr>Aufgabe 6.17</vt:lpstr>
      <vt:lpstr>Aufgabe 6.18b</vt:lpstr>
      <vt:lpstr>Aufgabe 6.19a</vt:lpstr>
      <vt:lpstr>Aufgabe 6.19b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dcterms:created xsi:type="dcterms:W3CDTF">2014-06-21T13:14:59Z</dcterms:created>
  <dcterms:modified xsi:type="dcterms:W3CDTF">2015-11-29T14:37:01Z</dcterms:modified>
</cp:coreProperties>
</file>