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an/Library/Mobile Documents/com~apple~CloudDocs/DHBW/1M_Planung_und_Analyse von Netzen/Teil_1/"/>
    </mc:Choice>
  </mc:AlternateContent>
  <xr:revisionPtr revIDLastSave="0" documentId="13_ncr:1_{B0398A27-0F2A-4842-A5F6-ADC8936AAC2D}" xr6:coauthVersionLast="47" xr6:coauthVersionMax="47" xr10:uidLastSave="{00000000-0000-0000-0000-000000000000}"/>
  <bookViews>
    <workbookView xWindow="3820" yWindow="8860" windowWidth="49120" windowHeight="33400" tabRatio="500" activeTab="5" xr2:uid="{00000000-000D-0000-FFFF-FFFF00000000}"/>
  </bookViews>
  <sheets>
    <sheet name="Leistung" sheetId="1" r:id="rId1"/>
    <sheet name="Verbraucher|Erzeuger_an_Leitung" sheetId="2" r:id="rId2"/>
    <sheet name="Reflexionen_an_Leitungen" sheetId="3" r:id="rId3"/>
    <sheet name="Leitungseigenschaften_bis_380kV" sheetId="4" r:id="rId4"/>
    <sheet name="Impedanz längs der Leitung" sheetId="5" r:id="rId5"/>
    <sheet name="Kabelstrecke" sheetId="7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71" i="7" l="1"/>
  <c r="B71" i="7"/>
  <c r="C70" i="7"/>
  <c r="B70" i="7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C17" i="7"/>
  <c r="B17" i="7"/>
  <c r="C16" i="7"/>
  <c r="B16" i="7"/>
  <c r="C15" i="7"/>
  <c r="B15" i="7"/>
  <c r="C14" i="7"/>
  <c r="K15" i="7" s="1"/>
  <c r="B14" i="7"/>
  <c r="C13" i="7"/>
  <c r="B13" i="7"/>
  <c r="C12" i="7"/>
  <c r="K13" i="7" s="1"/>
  <c r="B12" i="7"/>
  <c r="H11" i="7"/>
  <c r="D11" i="7"/>
  <c r="I11" i="7" s="1"/>
  <c r="C11" i="7"/>
  <c r="K12" i="7" s="1"/>
  <c r="J8" i="7"/>
  <c r="D8" i="7"/>
  <c r="J6" i="7"/>
  <c r="G6" i="7"/>
  <c r="G5" i="7"/>
  <c r="J4" i="7"/>
  <c r="J5" i="7" s="1"/>
  <c r="J3" i="7"/>
  <c r="J2" i="7"/>
  <c r="J1" i="7"/>
  <c r="K11" i="7" s="1"/>
  <c r="D1" i="5"/>
  <c r="D3" i="5"/>
  <c r="D2" i="5"/>
  <c r="G5" i="5"/>
  <c r="J7" i="5"/>
  <c r="G6" i="5"/>
  <c r="C71" i="5"/>
  <c r="B71" i="5"/>
  <c r="C70" i="5"/>
  <c r="B70" i="5"/>
  <c r="C69" i="5"/>
  <c r="B69" i="5"/>
  <c r="C68" i="5"/>
  <c r="B68" i="5"/>
  <c r="C67" i="5"/>
  <c r="B67" i="5"/>
  <c r="C66" i="5"/>
  <c r="B66" i="5"/>
  <c r="C65" i="5"/>
  <c r="B65" i="5"/>
  <c r="C64" i="5"/>
  <c r="B64" i="5"/>
  <c r="C63" i="5"/>
  <c r="B63" i="5"/>
  <c r="C62" i="5"/>
  <c r="B62" i="5"/>
  <c r="C61" i="5"/>
  <c r="B61" i="5"/>
  <c r="C60" i="5"/>
  <c r="B60" i="5"/>
  <c r="C59" i="5"/>
  <c r="B59" i="5"/>
  <c r="C58" i="5"/>
  <c r="B58" i="5"/>
  <c r="C57" i="5"/>
  <c r="B57" i="5"/>
  <c r="C56" i="5"/>
  <c r="B56" i="5"/>
  <c r="C55" i="5"/>
  <c r="B55" i="5"/>
  <c r="C54" i="5"/>
  <c r="B54" i="5"/>
  <c r="C53" i="5"/>
  <c r="B53" i="5"/>
  <c r="C52" i="5"/>
  <c r="B52" i="5"/>
  <c r="C51" i="5"/>
  <c r="B51" i="5"/>
  <c r="C50" i="5"/>
  <c r="B50" i="5"/>
  <c r="C49" i="5"/>
  <c r="B49" i="5"/>
  <c r="C48" i="5"/>
  <c r="B48" i="5"/>
  <c r="C47" i="5"/>
  <c r="B47" i="5"/>
  <c r="C46" i="5"/>
  <c r="B46" i="5"/>
  <c r="C45" i="5"/>
  <c r="B45" i="5"/>
  <c r="C44" i="5"/>
  <c r="B44" i="5"/>
  <c r="C43" i="5"/>
  <c r="B43" i="5"/>
  <c r="C42" i="5"/>
  <c r="B42" i="5"/>
  <c r="C41" i="5"/>
  <c r="B41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D11" i="5"/>
  <c r="F11" i="5" s="1"/>
  <c r="G11" i="5" s="1"/>
  <c r="C11" i="5"/>
  <c r="J6" i="5"/>
  <c r="J3" i="5"/>
  <c r="J4" i="5" s="1"/>
  <c r="J5" i="5" s="1"/>
  <c r="J1" i="5"/>
  <c r="C29" i="4"/>
  <c r="P28" i="4"/>
  <c r="M28" i="4"/>
  <c r="W27" i="4"/>
  <c r="L27" i="4"/>
  <c r="M27" i="4" s="1"/>
  <c r="P27" i="4" s="1"/>
  <c r="W26" i="4"/>
  <c r="N26" i="4"/>
  <c r="M26" i="4"/>
  <c r="P26" i="4" s="1"/>
  <c r="L26" i="4"/>
  <c r="C23" i="4"/>
  <c r="C19" i="4"/>
  <c r="C26" i="4" s="1"/>
  <c r="C17" i="4"/>
  <c r="C16" i="4"/>
  <c r="N28" i="4" s="1"/>
  <c r="C15" i="4"/>
  <c r="C14" i="4"/>
  <c r="D13" i="4"/>
  <c r="D12" i="4"/>
  <c r="D17" i="4" s="1"/>
  <c r="D11" i="4"/>
  <c r="D16" i="4" s="1"/>
  <c r="D10" i="4"/>
  <c r="D15" i="4" s="1"/>
  <c r="C9" i="4"/>
  <c r="D8" i="4"/>
  <c r="C8" i="4"/>
  <c r="D7" i="4"/>
  <c r="D6" i="4"/>
  <c r="D5" i="4"/>
  <c r="C5" i="4"/>
  <c r="C25" i="4" s="1"/>
  <c r="D4" i="4"/>
  <c r="D3" i="4"/>
  <c r="D14" i="4" s="1"/>
  <c r="H56" i="3"/>
  <c r="F56" i="3"/>
  <c r="E55" i="3"/>
  <c r="E54" i="3"/>
  <c r="B48" i="3"/>
  <c r="M56" i="3" s="1"/>
  <c r="B32" i="3"/>
  <c r="I56" i="3" s="1"/>
  <c r="B28" i="3"/>
  <c r="F20" i="3"/>
  <c r="F18" i="3"/>
  <c r="K14" i="3"/>
  <c r="B40" i="3" s="1"/>
  <c r="K56" i="3" s="1"/>
  <c r="H12" i="3"/>
  <c r="H11" i="3"/>
  <c r="K9" i="2"/>
  <c r="K11" i="2" s="1"/>
  <c r="O5" i="2" s="1"/>
  <c r="O7" i="2" s="1"/>
  <c r="T7" i="2" s="1"/>
  <c r="K8" i="2"/>
  <c r="R6" i="2"/>
  <c r="R5" i="2" s="1"/>
  <c r="Q4" i="2" s="1"/>
  <c r="O6" i="2"/>
  <c r="T6" i="2" s="1"/>
  <c r="T5" i="2" s="1"/>
  <c r="S4" i="2" s="1"/>
  <c r="N6" i="2"/>
  <c r="K6" i="2"/>
  <c r="K7" i="2" s="1"/>
  <c r="Q5" i="2"/>
  <c r="T3" i="2"/>
  <c r="R3" i="2"/>
  <c r="N3" i="2"/>
  <c r="B63" i="1"/>
  <c r="B59" i="1"/>
  <c r="B55" i="1"/>
  <c r="B51" i="1"/>
  <c r="B47" i="1"/>
  <c r="B43" i="1"/>
  <c r="B11" i="1"/>
  <c r="B10" i="1"/>
  <c r="B9" i="1"/>
  <c r="B8" i="1"/>
  <c r="B7" i="1"/>
  <c r="B6" i="1"/>
  <c r="I2" i="1"/>
  <c r="C64" i="1" s="1"/>
  <c r="F1" i="1"/>
  <c r="C65" i="1" s="1"/>
  <c r="K70" i="7" l="1"/>
  <c r="K68" i="7"/>
  <c r="K66" i="7"/>
  <c r="K64" i="7"/>
  <c r="K62" i="7"/>
  <c r="K60" i="7"/>
  <c r="K58" i="7"/>
  <c r="K56" i="7"/>
  <c r="K54" i="7"/>
  <c r="K52" i="7"/>
  <c r="K50" i="7"/>
  <c r="K48" i="7"/>
  <c r="K46" i="7"/>
  <c r="K44" i="7"/>
  <c r="K42" i="7"/>
  <c r="K40" i="7"/>
  <c r="K38" i="7"/>
  <c r="K36" i="7"/>
  <c r="K34" i="7"/>
  <c r="K14" i="7"/>
  <c r="J7" i="7"/>
  <c r="K27" i="7"/>
  <c r="K25" i="7"/>
  <c r="K20" i="7"/>
  <c r="K16" i="7"/>
  <c r="K18" i="7"/>
  <c r="K19" i="7"/>
  <c r="J11" i="7"/>
  <c r="I12" i="7" s="1"/>
  <c r="J12" i="7"/>
  <c r="I13" i="7" s="1"/>
  <c r="K17" i="7"/>
  <c r="K21" i="7"/>
  <c r="K23" i="7"/>
  <c r="K22" i="7"/>
  <c r="K29" i="7"/>
  <c r="K24" i="7"/>
  <c r="F11" i="7"/>
  <c r="G11" i="7" s="1"/>
  <c r="K26" i="7"/>
  <c r="K28" i="7"/>
  <c r="K30" i="7"/>
  <c r="K31" i="7"/>
  <c r="K32" i="7"/>
  <c r="K33" i="7"/>
  <c r="K35" i="7"/>
  <c r="K37" i="7"/>
  <c r="K39" i="7"/>
  <c r="K41" i="7"/>
  <c r="K43" i="7"/>
  <c r="K45" i="7"/>
  <c r="K47" i="7"/>
  <c r="K49" i="7"/>
  <c r="K51" i="7"/>
  <c r="K53" i="7"/>
  <c r="K55" i="7"/>
  <c r="K57" i="7"/>
  <c r="K59" i="7"/>
  <c r="K61" i="7"/>
  <c r="K63" i="7"/>
  <c r="K65" i="7"/>
  <c r="K67" i="7"/>
  <c r="K69" i="7"/>
  <c r="K71" i="7"/>
  <c r="C44" i="1"/>
  <c r="C60" i="1"/>
  <c r="B42" i="1"/>
  <c r="C43" i="1"/>
  <c r="D43" i="1" s="1"/>
  <c r="B46" i="1"/>
  <c r="D46" i="1" s="1"/>
  <c r="C47" i="1"/>
  <c r="B50" i="1"/>
  <c r="C51" i="1"/>
  <c r="B54" i="1"/>
  <c r="D54" i="1" s="1"/>
  <c r="C55" i="1"/>
  <c r="D55" i="1" s="1"/>
  <c r="B58" i="1"/>
  <c r="C59" i="1"/>
  <c r="B62" i="1"/>
  <c r="D62" i="1" s="1"/>
  <c r="C63" i="1"/>
  <c r="S5" i="2"/>
  <c r="O26" i="4"/>
  <c r="C48" i="1"/>
  <c r="D51" i="1"/>
  <c r="D63" i="1"/>
  <c r="C66" i="1"/>
  <c r="B12" i="1"/>
  <c r="B13" i="1"/>
  <c r="D13" i="1" s="1"/>
  <c r="B14" i="1"/>
  <c r="B15" i="1"/>
  <c r="B16" i="1"/>
  <c r="B17" i="1"/>
  <c r="D17" i="1" s="1"/>
  <c r="B18" i="1"/>
  <c r="B19" i="1"/>
  <c r="B20" i="1"/>
  <c r="B21" i="1"/>
  <c r="D21" i="1" s="1"/>
  <c r="B22" i="1"/>
  <c r="B23" i="1"/>
  <c r="B24" i="1"/>
  <c r="B25" i="1"/>
  <c r="D25" i="1" s="1"/>
  <c r="B26" i="1"/>
  <c r="B27" i="1"/>
  <c r="B28" i="1"/>
  <c r="B29" i="1"/>
  <c r="D29" i="1" s="1"/>
  <c r="B30" i="1"/>
  <c r="B31" i="1"/>
  <c r="B32" i="1"/>
  <c r="B33" i="1"/>
  <c r="D33" i="1" s="1"/>
  <c r="B34" i="1"/>
  <c r="B35" i="1"/>
  <c r="B36" i="1"/>
  <c r="B37" i="1"/>
  <c r="D37" i="1" s="1"/>
  <c r="B38" i="1"/>
  <c r="B39" i="1"/>
  <c r="B40" i="1"/>
  <c r="B41" i="1"/>
  <c r="D41" i="1" s="1"/>
  <c r="C42" i="1"/>
  <c r="B45" i="1"/>
  <c r="C46" i="1"/>
  <c r="B49" i="1"/>
  <c r="D49" i="1" s="1"/>
  <c r="C50" i="1"/>
  <c r="B53" i="1"/>
  <c r="C54" i="1"/>
  <c r="B57" i="1"/>
  <c r="D57" i="1" s="1"/>
  <c r="C58" i="1"/>
  <c r="B61" i="1"/>
  <c r="C62" i="1"/>
  <c r="M20" i="3"/>
  <c r="F54" i="3"/>
  <c r="F21" i="3"/>
  <c r="F22" i="3" s="1"/>
  <c r="D9" i="4"/>
  <c r="D19" i="4"/>
  <c r="D26" i="4" s="1"/>
  <c r="O28" i="4"/>
  <c r="C30" i="4"/>
  <c r="C32" i="4" s="1"/>
  <c r="C31" i="4"/>
  <c r="Q26" i="4" s="1"/>
  <c r="D47" i="1"/>
  <c r="C52" i="1"/>
  <c r="C56" i="1"/>
  <c r="D59" i="1"/>
  <c r="B66" i="1"/>
  <c r="D66" i="1" s="1"/>
  <c r="B65" i="1"/>
  <c r="D6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B44" i="1"/>
  <c r="D44" i="1" s="1"/>
  <c r="C45" i="1"/>
  <c r="B48" i="1"/>
  <c r="D48" i="1" s="1"/>
  <c r="C49" i="1"/>
  <c r="B52" i="1"/>
  <c r="D52" i="1" s="1"/>
  <c r="C53" i="1"/>
  <c r="B56" i="1"/>
  <c r="C57" i="1"/>
  <c r="B60" i="1"/>
  <c r="D60" i="1" s="1"/>
  <c r="C61" i="1"/>
  <c r="B64" i="1"/>
  <c r="D64" i="1" s="1"/>
  <c r="T4" i="2"/>
  <c r="B24" i="3"/>
  <c r="G56" i="3" s="1"/>
  <c r="C24" i="4"/>
  <c r="J2" i="5"/>
  <c r="K11" i="5" s="1"/>
  <c r="K10" i="2"/>
  <c r="N4" i="2" s="1"/>
  <c r="N7" i="2" s="1"/>
  <c r="B36" i="3"/>
  <c r="J56" i="3" s="1"/>
  <c r="B44" i="3"/>
  <c r="L56" i="3" s="1"/>
  <c r="Q28" i="4"/>
  <c r="N27" i="4"/>
  <c r="O27" i="4" s="1"/>
  <c r="H11" i="5"/>
  <c r="I11" i="5"/>
  <c r="J11" i="5" s="1"/>
  <c r="E13" i="7" l="1"/>
  <c r="D13" i="7"/>
  <c r="F13" i="7" s="1"/>
  <c r="G13" i="7" s="1"/>
  <c r="E12" i="7"/>
  <c r="D12" i="7"/>
  <c r="F12" i="7" s="1"/>
  <c r="G12" i="7" s="1"/>
  <c r="J13" i="7"/>
  <c r="I14" i="7" s="1"/>
  <c r="I12" i="5"/>
  <c r="D12" i="5" s="1"/>
  <c r="K27" i="5"/>
  <c r="K25" i="5"/>
  <c r="K23" i="5"/>
  <c r="K21" i="5"/>
  <c r="K19" i="5"/>
  <c r="K17" i="5"/>
  <c r="K15" i="5"/>
  <c r="K13" i="5"/>
  <c r="K12" i="5"/>
  <c r="K18" i="5"/>
  <c r="K26" i="5"/>
  <c r="K31" i="5"/>
  <c r="K39" i="5"/>
  <c r="K42" i="5"/>
  <c r="K50" i="5"/>
  <c r="K58" i="5"/>
  <c r="K69" i="5"/>
  <c r="K70" i="5"/>
  <c r="K62" i="5"/>
  <c r="K43" i="5"/>
  <c r="K51" i="5"/>
  <c r="K59" i="5"/>
  <c r="K22" i="5"/>
  <c r="K35" i="5"/>
  <c r="K54" i="5"/>
  <c r="K20" i="5"/>
  <c r="K28" i="5"/>
  <c r="K33" i="5"/>
  <c r="K38" i="5"/>
  <c r="K44" i="5"/>
  <c r="K52" i="5"/>
  <c r="K63" i="5"/>
  <c r="K71" i="5"/>
  <c r="K68" i="5"/>
  <c r="K32" i="5"/>
  <c r="K45" i="5"/>
  <c r="K53" i="5"/>
  <c r="K61" i="5"/>
  <c r="K14" i="5"/>
  <c r="K30" i="5"/>
  <c r="K46" i="5"/>
  <c r="K65" i="5"/>
  <c r="K34" i="5"/>
  <c r="K55" i="5"/>
  <c r="K60" i="5"/>
  <c r="K41" i="5"/>
  <c r="K66" i="5"/>
  <c r="K16" i="5"/>
  <c r="K24" i="5"/>
  <c r="K37" i="5"/>
  <c r="K40" i="5"/>
  <c r="K48" i="5"/>
  <c r="K56" i="5"/>
  <c r="K67" i="5"/>
  <c r="K29" i="5"/>
  <c r="K64" i="5"/>
  <c r="K36" i="5"/>
  <c r="K49" i="5"/>
  <c r="K57" i="5"/>
  <c r="K47" i="5"/>
  <c r="N9" i="2"/>
  <c r="N12" i="2" s="1"/>
  <c r="R7" i="2"/>
  <c r="D35" i="4"/>
  <c r="D36" i="4" s="1"/>
  <c r="C35" i="4"/>
  <c r="C36" i="4" s="1"/>
  <c r="R4" i="2"/>
  <c r="D40" i="1"/>
  <c r="D36" i="1"/>
  <c r="D32" i="1"/>
  <c r="D28" i="1"/>
  <c r="D24" i="1"/>
  <c r="D20" i="1"/>
  <c r="D16" i="1"/>
  <c r="D12" i="1"/>
  <c r="N10" i="2"/>
  <c r="N11" i="2" s="1"/>
  <c r="D56" i="1"/>
  <c r="D61" i="1"/>
  <c r="D53" i="1"/>
  <c r="D45" i="1"/>
  <c r="D39" i="1"/>
  <c r="D35" i="1"/>
  <c r="D31" i="1"/>
  <c r="D27" i="1"/>
  <c r="D23" i="1"/>
  <c r="D19" i="1"/>
  <c r="D15" i="1"/>
  <c r="D58" i="1"/>
  <c r="D50" i="1"/>
  <c r="D42" i="1"/>
  <c r="C33" i="4"/>
  <c r="C34" i="4"/>
  <c r="M21" i="3"/>
  <c r="F25" i="3" s="1"/>
  <c r="M29" i="3" s="1"/>
  <c r="F33" i="3" s="1"/>
  <c r="M37" i="3" s="1"/>
  <c r="F41" i="3" s="1"/>
  <c r="M45" i="3" s="1"/>
  <c r="F49" i="3" s="1"/>
  <c r="D38" i="1"/>
  <c r="D34" i="1"/>
  <c r="D30" i="1"/>
  <c r="D26" i="1"/>
  <c r="D22" i="1"/>
  <c r="D18" i="1"/>
  <c r="D14" i="1"/>
  <c r="F5" i="1" s="1"/>
  <c r="Q27" i="4"/>
  <c r="H12" i="7" l="1"/>
  <c r="E14" i="7"/>
  <c r="D14" i="7"/>
  <c r="F14" i="7" s="1"/>
  <c r="G14" i="7" s="1"/>
  <c r="J14" i="7"/>
  <c r="I15" i="7" s="1"/>
  <c r="H13" i="7"/>
  <c r="J12" i="5"/>
  <c r="I13" i="5" s="1"/>
  <c r="D13" i="5" s="1"/>
  <c r="E12" i="5"/>
  <c r="H12" i="5" s="1"/>
  <c r="E65" i="1"/>
  <c r="E62" i="1"/>
  <c r="E58" i="1"/>
  <c r="E54" i="1"/>
  <c r="E50" i="1"/>
  <c r="E46" i="1"/>
  <c r="E42" i="1"/>
  <c r="E8" i="1"/>
  <c r="E61" i="1"/>
  <c r="E49" i="1"/>
  <c r="E41" i="1"/>
  <c r="E63" i="1"/>
  <c r="E59" i="1"/>
  <c r="E55" i="1"/>
  <c r="E51" i="1"/>
  <c r="E47" i="1"/>
  <c r="E43" i="1"/>
  <c r="E6" i="1"/>
  <c r="E57" i="1"/>
  <c r="E53" i="1"/>
  <c r="E45" i="1"/>
  <c r="E66" i="1"/>
  <c r="E64" i="1"/>
  <c r="E60" i="1"/>
  <c r="E56" i="1"/>
  <c r="E52" i="1"/>
  <c r="E48" i="1"/>
  <c r="E44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7" i="1"/>
  <c r="M22" i="3"/>
  <c r="T26" i="4"/>
  <c r="U26" i="4"/>
  <c r="T27" i="4"/>
  <c r="U27" i="4"/>
  <c r="F12" i="5"/>
  <c r="G12" i="5" s="1"/>
  <c r="D15" i="7" l="1"/>
  <c r="E15" i="7"/>
  <c r="H15" i="7" s="1"/>
  <c r="J15" i="7"/>
  <c r="I16" i="7" s="1"/>
  <c r="H14" i="7"/>
  <c r="E13" i="5"/>
  <c r="F13" i="5" s="1"/>
  <c r="G13" i="5" s="1"/>
  <c r="J13" i="5"/>
  <c r="I14" i="5" s="1"/>
  <c r="J14" i="5" s="1"/>
  <c r="I15" i="5" s="1"/>
  <c r="V26" i="4"/>
  <c r="Y26" i="4" s="1"/>
  <c r="AC26" i="4" s="1"/>
  <c r="F55" i="3"/>
  <c r="F24" i="3"/>
  <c r="F26" i="3" s="1"/>
  <c r="M25" i="3"/>
  <c r="M24" i="3"/>
  <c r="G55" i="3" s="1"/>
  <c r="M26" i="3"/>
  <c r="V27" i="4"/>
  <c r="Y27" i="4" s="1"/>
  <c r="AC27" i="4" s="1"/>
  <c r="E16" i="7" l="1"/>
  <c r="D16" i="7"/>
  <c r="F16" i="7" s="1"/>
  <c r="G16" i="7" s="1"/>
  <c r="J16" i="7"/>
  <c r="I17" i="7" s="1"/>
  <c r="F15" i="7"/>
  <c r="G15" i="7" s="1"/>
  <c r="D14" i="5"/>
  <c r="E14" i="5"/>
  <c r="F14" i="5" s="1"/>
  <c r="G14" i="5" s="1"/>
  <c r="H13" i="5"/>
  <c r="AG27" i="4"/>
  <c r="AH27" i="4"/>
  <c r="G54" i="3"/>
  <c r="M28" i="3"/>
  <c r="M30" i="3" s="1"/>
  <c r="F30" i="3"/>
  <c r="F28" i="3"/>
  <c r="H54" i="3" s="1"/>
  <c r="F29" i="3"/>
  <c r="E15" i="5"/>
  <c r="D15" i="5"/>
  <c r="J15" i="5"/>
  <c r="I16" i="5" s="1"/>
  <c r="AG26" i="4"/>
  <c r="AH26" i="4"/>
  <c r="E17" i="7" l="1"/>
  <c r="D17" i="7"/>
  <c r="F17" i="7" s="1"/>
  <c r="G17" i="7" s="1"/>
  <c r="J17" i="7"/>
  <c r="I18" i="7" s="1"/>
  <c r="H16" i="7"/>
  <c r="H14" i="5"/>
  <c r="H15" i="5"/>
  <c r="D16" i="5"/>
  <c r="E16" i="5"/>
  <c r="H16" i="5" s="1"/>
  <c r="J16" i="5"/>
  <c r="I17" i="5" s="1"/>
  <c r="F32" i="3"/>
  <c r="F34" i="3" s="1"/>
  <c r="H55" i="3"/>
  <c r="M34" i="3"/>
  <c r="M32" i="3"/>
  <c r="I55" i="3" s="1"/>
  <c r="M33" i="3"/>
  <c r="F15" i="5"/>
  <c r="G15" i="5" s="1"/>
  <c r="E18" i="7" l="1"/>
  <c r="D18" i="7"/>
  <c r="F18" i="7" s="1"/>
  <c r="G18" i="7" s="1"/>
  <c r="J18" i="7"/>
  <c r="I19" i="7" s="1"/>
  <c r="H17" i="7"/>
  <c r="E17" i="5"/>
  <c r="D17" i="5"/>
  <c r="F17" i="5" s="1"/>
  <c r="G17" i="5" s="1"/>
  <c r="J17" i="5"/>
  <c r="I18" i="5" s="1"/>
  <c r="M36" i="3"/>
  <c r="M38" i="3" s="1"/>
  <c r="F37" i="3"/>
  <c r="F38" i="3"/>
  <c r="F36" i="3"/>
  <c r="J54" i="3" s="1"/>
  <c r="I54" i="3"/>
  <c r="F16" i="5"/>
  <c r="G16" i="5" s="1"/>
  <c r="E19" i="7" l="1"/>
  <c r="D19" i="7"/>
  <c r="F19" i="7" s="1"/>
  <c r="G19" i="7" s="1"/>
  <c r="J19" i="7"/>
  <c r="I20" i="7" s="1"/>
  <c r="H18" i="7"/>
  <c r="D18" i="5"/>
  <c r="E18" i="5"/>
  <c r="J18" i="5"/>
  <c r="I19" i="5" s="1"/>
  <c r="M41" i="3"/>
  <c r="M40" i="3"/>
  <c r="K55" i="3" s="1"/>
  <c r="M42" i="3"/>
  <c r="F40" i="3"/>
  <c r="F42" i="3" s="1"/>
  <c r="J55" i="3"/>
  <c r="H17" i="5"/>
  <c r="D20" i="7" l="1"/>
  <c r="E20" i="7"/>
  <c r="H20" i="7" s="1"/>
  <c r="J20" i="7"/>
  <c r="I21" i="7" s="1"/>
  <c r="H19" i="7"/>
  <c r="H18" i="5"/>
  <c r="E19" i="5"/>
  <c r="D19" i="5"/>
  <c r="F19" i="5" s="1"/>
  <c r="G19" i="5" s="1"/>
  <c r="J19" i="5"/>
  <c r="I20" i="5" s="1"/>
  <c r="F46" i="3"/>
  <c r="F44" i="3"/>
  <c r="L54" i="3" s="1"/>
  <c r="F45" i="3"/>
  <c r="K54" i="3"/>
  <c r="M44" i="3"/>
  <c r="M46" i="3" s="1"/>
  <c r="F18" i="5"/>
  <c r="G18" i="5" s="1"/>
  <c r="E21" i="7" l="1"/>
  <c r="D21" i="7"/>
  <c r="F21" i="7" s="1"/>
  <c r="G21" i="7" s="1"/>
  <c r="J21" i="7"/>
  <c r="I22" i="7" s="1"/>
  <c r="F20" i="7"/>
  <c r="G20" i="7" s="1"/>
  <c r="D20" i="5"/>
  <c r="E20" i="5"/>
  <c r="J20" i="5"/>
  <c r="I21" i="5" s="1"/>
  <c r="M50" i="3"/>
  <c r="M48" i="3"/>
  <c r="M55" i="3" s="1"/>
  <c r="L55" i="3"/>
  <c r="F48" i="3"/>
  <c r="F50" i="3" s="1"/>
  <c r="M54" i="3" s="1"/>
  <c r="M49" i="3"/>
  <c r="H19" i="5"/>
  <c r="D22" i="7" l="1"/>
  <c r="E22" i="7"/>
  <c r="H22" i="7" s="1"/>
  <c r="J22" i="7"/>
  <c r="I23" i="7" s="1"/>
  <c r="H21" i="7"/>
  <c r="H20" i="5"/>
  <c r="E21" i="5"/>
  <c r="D21" i="5"/>
  <c r="J21" i="5"/>
  <c r="I22" i="5" s="1"/>
  <c r="F20" i="5"/>
  <c r="G20" i="5" s="1"/>
  <c r="E23" i="7" l="1"/>
  <c r="D23" i="7"/>
  <c r="F23" i="7" s="1"/>
  <c r="G23" i="7" s="1"/>
  <c r="J23" i="7"/>
  <c r="I24" i="7" s="1"/>
  <c r="F22" i="7"/>
  <c r="G22" i="7" s="1"/>
  <c r="F21" i="5"/>
  <c r="G21" i="5" s="1"/>
  <c r="H21" i="5"/>
  <c r="D22" i="5"/>
  <c r="E22" i="5"/>
  <c r="H22" i="5" s="1"/>
  <c r="J22" i="5"/>
  <c r="I23" i="5" s="1"/>
  <c r="D24" i="7" l="1"/>
  <c r="E24" i="7"/>
  <c r="H24" i="7" s="1"/>
  <c r="J24" i="7"/>
  <c r="I25" i="7" s="1"/>
  <c r="H23" i="7"/>
  <c r="E23" i="5"/>
  <c r="D23" i="5"/>
  <c r="J23" i="5"/>
  <c r="I24" i="5" s="1"/>
  <c r="F22" i="5"/>
  <c r="G22" i="5" s="1"/>
  <c r="E25" i="7" l="1"/>
  <c r="D25" i="7"/>
  <c r="F25" i="7" s="1"/>
  <c r="G25" i="7" s="1"/>
  <c r="J25" i="7"/>
  <c r="I26" i="7" s="1"/>
  <c r="F24" i="7"/>
  <c r="G24" i="7" s="1"/>
  <c r="F23" i="5"/>
  <c r="G23" i="5" s="1"/>
  <c r="D24" i="5"/>
  <c r="E24" i="5"/>
  <c r="J24" i="5"/>
  <c r="I25" i="5" s="1"/>
  <c r="H23" i="5"/>
  <c r="D26" i="7" l="1"/>
  <c r="E26" i="7"/>
  <c r="H26" i="7" s="1"/>
  <c r="J26" i="7"/>
  <c r="I27" i="7" s="1"/>
  <c r="H25" i="7"/>
  <c r="H24" i="5"/>
  <c r="E25" i="5"/>
  <c r="D25" i="5"/>
  <c r="F25" i="5" s="1"/>
  <c r="G25" i="5" s="1"/>
  <c r="J25" i="5"/>
  <c r="I26" i="5" s="1"/>
  <c r="F24" i="5"/>
  <c r="G24" i="5" s="1"/>
  <c r="E27" i="7" l="1"/>
  <c r="D27" i="7"/>
  <c r="F27" i="7" s="1"/>
  <c r="G27" i="7" s="1"/>
  <c r="J27" i="7"/>
  <c r="I28" i="7" s="1"/>
  <c r="F26" i="7"/>
  <c r="G26" i="7" s="1"/>
  <c r="D26" i="5"/>
  <c r="E26" i="5"/>
  <c r="J26" i="5"/>
  <c r="I27" i="5" s="1"/>
  <c r="H25" i="5"/>
  <c r="D28" i="7" l="1"/>
  <c r="E28" i="7"/>
  <c r="H28" i="7" s="1"/>
  <c r="J28" i="7"/>
  <c r="I29" i="7" s="1"/>
  <c r="H27" i="7"/>
  <c r="H26" i="5"/>
  <c r="E27" i="5"/>
  <c r="D27" i="5"/>
  <c r="F27" i="5" s="1"/>
  <c r="G27" i="5" s="1"/>
  <c r="J27" i="5"/>
  <c r="I28" i="5" s="1"/>
  <c r="F26" i="5"/>
  <c r="G26" i="5" s="1"/>
  <c r="E29" i="7" l="1"/>
  <c r="D29" i="7"/>
  <c r="F29" i="7" s="1"/>
  <c r="G29" i="7" s="1"/>
  <c r="J29" i="7"/>
  <c r="I30" i="7" s="1"/>
  <c r="F28" i="7"/>
  <c r="G28" i="7" s="1"/>
  <c r="D28" i="5"/>
  <c r="E28" i="5"/>
  <c r="J28" i="5"/>
  <c r="I29" i="5" s="1"/>
  <c r="H27" i="5"/>
  <c r="D30" i="7" l="1"/>
  <c r="E30" i="7"/>
  <c r="H30" i="7" s="1"/>
  <c r="J30" i="7"/>
  <c r="I31" i="7" s="1"/>
  <c r="H29" i="7"/>
  <c r="F28" i="5"/>
  <c r="G28" i="5" s="1"/>
  <c r="E29" i="5"/>
  <c r="D29" i="5"/>
  <c r="J29" i="5"/>
  <c r="I30" i="5" s="1"/>
  <c r="H28" i="5"/>
  <c r="E31" i="7" l="1"/>
  <c r="D31" i="7"/>
  <c r="F31" i="7" s="1"/>
  <c r="G31" i="7" s="1"/>
  <c r="J31" i="7"/>
  <c r="I32" i="7" s="1"/>
  <c r="F30" i="7"/>
  <c r="G30" i="7" s="1"/>
  <c r="F29" i="5"/>
  <c r="G29" i="5" s="1"/>
  <c r="E30" i="5"/>
  <c r="D30" i="5"/>
  <c r="J30" i="5"/>
  <c r="I31" i="5" s="1"/>
  <c r="H29" i="5"/>
  <c r="D32" i="7" l="1"/>
  <c r="E32" i="7"/>
  <c r="H32" i="7" s="1"/>
  <c r="J32" i="7"/>
  <c r="I33" i="7" s="1"/>
  <c r="H31" i="7"/>
  <c r="F30" i="5"/>
  <c r="G30" i="5" s="1"/>
  <c r="E31" i="5"/>
  <c r="D31" i="5"/>
  <c r="F31" i="5" s="1"/>
  <c r="G31" i="5" s="1"/>
  <c r="J31" i="5"/>
  <c r="I32" i="5" s="1"/>
  <c r="H30" i="5"/>
  <c r="E33" i="7" l="1"/>
  <c r="D33" i="7"/>
  <c r="F33" i="7" s="1"/>
  <c r="G33" i="7" s="1"/>
  <c r="J33" i="7"/>
  <c r="I34" i="7" s="1"/>
  <c r="F32" i="7"/>
  <c r="G32" i="7" s="1"/>
  <c r="E32" i="5"/>
  <c r="D32" i="5"/>
  <c r="J32" i="5"/>
  <c r="I33" i="5" s="1"/>
  <c r="H31" i="5"/>
  <c r="E34" i="7" l="1"/>
  <c r="D34" i="7"/>
  <c r="F34" i="7" s="1"/>
  <c r="G34" i="7" s="1"/>
  <c r="J34" i="7"/>
  <c r="I35" i="7" s="1"/>
  <c r="H33" i="7"/>
  <c r="F32" i="5"/>
  <c r="G32" i="5" s="1"/>
  <c r="E33" i="5"/>
  <c r="D33" i="5"/>
  <c r="J33" i="5"/>
  <c r="I34" i="5" s="1"/>
  <c r="H32" i="5"/>
  <c r="E35" i="7" l="1"/>
  <c r="D35" i="7"/>
  <c r="F35" i="7" s="1"/>
  <c r="G35" i="7" s="1"/>
  <c r="J35" i="7"/>
  <c r="I36" i="7" s="1"/>
  <c r="H34" i="7"/>
  <c r="H33" i="5"/>
  <c r="E34" i="5"/>
  <c r="D34" i="5"/>
  <c r="J34" i="5"/>
  <c r="I35" i="5" s="1"/>
  <c r="F33" i="5"/>
  <c r="G33" i="5" s="1"/>
  <c r="E36" i="7" l="1"/>
  <c r="D36" i="7"/>
  <c r="F36" i="7" s="1"/>
  <c r="G36" i="7" s="1"/>
  <c r="J36" i="7"/>
  <c r="I37" i="7" s="1"/>
  <c r="H35" i="7"/>
  <c r="F34" i="5"/>
  <c r="G34" i="5" s="1"/>
  <c r="E35" i="5"/>
  <c r="D35" i="5"/>
  <c r="J35" i="5"/>
  <c r="I36" i="5" s="1"/>
  <c r="H34" i="5"/>
  <c r="E37" i="7" l="1"/>
  <c r="D37" i="7"/>
  <c r="F37" i="7" s="1"/>
  <c r="G37" i="7" s="1"/>
  <c r="J37" i="7"/>
  <c r="I38" i="7" s="1"/>
  <c r="H36" i="7"/>
  <c r="F35" i="5"/>
  <c r="G35" i="5" s="1"/>
  <c r="E36" i="5"/>
  <c r="D36" i="5"/>
  <c r="F36" i="5" s="1"/>
  <c r="G36" i="5" s="1"/>
  <c r="J36" i="5"/>
  <c r="I37" i="5" s="1"/>
  <c r="H35" i="5"/>
  <c r="E38" i="7" l="1"/>
  <c r="D38" i="7"/>
  <c r="F38" i="7" s="1"/>
  <c r="G38" i="7" s="1"/>
  <c r="J38" i="7"/>
  <c r="I39" i="7" s="1"/>
  <c r="H37" i="7"/>
  <c r="E37" i="5"/>
  <c r="D37" i="5"/>
  <c r="F37" i="5" s="1"/>
  <c r="G37" i="5" s="1"/>
  <c r="J37" i="5"/>
  <c r="I38" i="5" s="1"/>
  <c r="H36" i="5"/>
  <c r="E39" i="7" l="1"/>
  <c r="D39" i="7"/>
  <c r="F39" i="7" s="1"/>
  <c r="G39" i="7" s="1"/>
  <c r="J39" i="7"/>
  <c r="I40" i="7" s="1"/>
  <c r="H38" i="7"/>
  <c r="E38" i="5"/>
  <c r="D38" i="5"/>
  <c r="J38" i="5"/>
  <c r="I39" i="5" s="1"/>
  <c r="H37" i="5"/>
  <c r="E40" i="7" l="1"/>
  <c r="D40" i="7"/>
  <c r="F40" i="7" s="1"/>
  <c r="G40" i="7" s="1"/>
  <c r="J40" i="7"/>
  <c r="I41" i="7" s="1"/>
  <c r="H39" i="7"/>
  <c r="F38" i="5"/>
  <c r="G38" i="5" s="1"/>
  <c r="D39" i="5"/>
  <c r="E39" i="5"/>
  <c r="J39" i="5"/>
  <c r="I40" i="5" s="1"/>
  <c r="H38" i="5"/>
  <c r="E41" i="7" l="1"/>
  <c r="D41" i="7"/>
  <c r="F41" i="7" s="1"/>
  <c r="G41" i="7" s="1"/>
  <c r="J41" i="7"/>
  <c r="I42" i="7" s="1"/>
  <c r="H40" i="7"/>
  <c r="H39" i="5"/>
  <c r="E40" i="5"/>
  <c r="D40" i="5"/>
  <c r="J40" i="5"/>
  <c r="I41" i="5" s="1"/>
  <c r="F39" i="5"/>
  <c r="G39" i="5" s="1"/>
  <c r="E42" i="7" l="1"/>
  <c r="D42" i="7"/>
  <c r="F42" i="7" s="1"/>
  <c r="G42" i="7" s="1"/>
  <c r="J42" i="7"/>
  <c r="I43" i="7" s="1"/>
  <c r="H41" i="7"/>
  <c r="F40" i="5"/>
  <c r="G40" i="5" s="1"/>
  <c r="D41" i="5"/>
  <c r="E41" i="5"/>
  <c r="J41" i="5"/>
  <c r="I42" i="5" s="1"/>
  <c r="H40" i="5"/>
  <c r="E43" i="7" l="1"/>
  <c r="D43" i="7"/>
  <c r="F43" i="7" s="1"/>
  <c r="G43" i="7" s="1"/>
  <c r="J43" i="7"/>
  <c r="I44" i="7" s="1"/>
  <c r="H42" i="7"/>
  <c r="H41" i="5"/>
  <c r="E42" i="5"/>
  <c r="D42" i="5"/>
  <c r="F42" i="5" s="1"/>
  <c r="G42" i="5" s="1"/>
  <c r="J42" i="5"/>
  <c r="I43" i="5" s="1"/>
  <c r="F41" i="5"/>
  <c r="G41" i="5" s="1"/>
  <c r="E44" i="7" l="1"/>
  <c r="D44" i="7"/>
  <c r="F44" i="7" s="1"/>
  <c r="G44" i="7" s="1"/>
  <c r="J44" i="7"/>
  <c r="I45" i="7" s="1"/>
  <c r="H43" i="7"/>
  <c r="D43" i="5"/>
  <c r="E43" i="5"/>
  <c r="H43" i="5" s="1"/>
  <c r="J43" i="5"/>
  <c r="I44" i="5" s="1"/>
  <c r="H42" i="5"/>
  <c r="E45" i="7" l="1"/>
  <c r="D45" i="7"/>
  <c r="F45" i="7" s="1"/>
  <c r="G45" i="7" s="1"/>
  <c r="J45" i="7"/>
  <c r="I46" i="7" s="1"/>
  <c r="H44" i="7"/>
  <c r="E44" i="5"/>
  <c r="D44" i="5"/>
  <c r="F44" i="5" s="1"/>
  <c r="G44" i="5" s="1"/>
  <c r="J44" i="5"/>
  <c r="I45" i="5" s="1"/>
  <c r="F43" i="5"/>
  <c r="G43" i="5" s="1"/>
  <c r="E46" i="7" l="1"/>
  <c r="D46" i="7"/>
  <c r="F46" i="7" s="1"/>
  <c r="G46" i="7" s="1"/>
  <c r="J46" i="7"/>
  <c r="I47" i="7" s="1"/>
  <c r="H45" i="7"/>
  <c r="D45" i="5"/>
  <c r="E45" i="5"/>
  <c r="H45" i="5" s="1"/>
  <c r="J45" i="5"/>
  <c r="I46" i="5" s="1"/>
  <c r="H44" i="5"/>
  <c r="E47" i="7" l="1"/>
  <c r="D47" i="7"/>
  <c r="F47" i="7" s="1"/>
  <c r="G47" i="7" s="1"/>
  <c r="J47" i="7"/>
  <c r="I48" i="7" s="1"/>
  <c r="H46" i="7"/>
  <c r="E46" i="5"/>
  <c r="D46" i="5"/>
  <c r="F46" i="5" s="1"/>
  <c r="G46" i="5" s="1"/>
  <c r="J46" i="5"/>
  <c r="I47" i="5" s="1"/>
  <c r="F45" i="5"/>
  <c r="G45" i="5" s="1"/>
  <c r="E48" i="7" l="1"/>
  <c r="D48" i="7"/>
  <c r="F48" i="7" s="1"/>
  <c r="G48" i="7" s="1"/>
  <c r="J48" i="7"/>
  <c r="I49" i="7" s="1"/>
  <c r="H47" i="7"/>
  <c r="D47" i="5"/>
  <c r="E47" i="5"/>
  <c r="H47" i="5" s="1"/>
  <c r="J47" i="5"/>
  <c r="I48" i="5" s="1"/>
  <c r="H46" i="5"/>
  <c r="E49" i="7" l="1"/>
  <c r="D49" i="7"/>
  <c r="F49" i="7" s="1"/>
  <c r="G49" i="7" s="1"/>
  <c r="J49" i="7"/>
  <c r="I50" i="7" s="1"/>
  <c r="H48" i="7"/>
  <c r="E48" i="5"/>
  <c r="D48" i="5"/>
  <c r="J48" i="5"/>
  <c r="I49" i="5" s="1"/>
  <c r="F47" i="5"/>
  <c r="G47" i="5" s="1"/>
  <c r="E50" i="7" l="1"/>
  <c r="D50" i="7"/>
  <c r="F50" i="7" s="1"/>
  <c r="G50" i="7" s="1"/>
  <c r="J50" i="7"/>
  <c r="I51" i="7" s="1"/>
  <c r="H49" i="7"/>
  <c r="H48" i="5"/>
  <c r="D49" i="5"/>
  <c r="E49" i="5"/>
  <c r="J49" i="5"/>
  <c r="I50" i="5" s="1"/>
  <c r="F48" i="5"/>
  <c r="G48" i="5" s="1"/>
  <c r="E51" i="7" l="1"/>
  <c r="D51" i="7"/>
  <c r="F51" i="7" s="1"/>
  <c r="G51" i="7" s="1"/>
  <c r="J51" i="7"/>
  <c r="I52" i="7" s="1"/>
  <c r="H50" i="7"/>
  <c r="H49" i="5"/>
  <c r="E50" i="5"/>
  <c r="D50" i="5"/>
  <c r="J50" i="5"/>
  <c r="I51" i="5" s="1"/>
  <c r="F49" i="5"/>
  <c r="G49" i="5" s="1"/>
  <c r="E52" i="7" l="1"/>
  <c r="D52" i="7"/>
  <c r="F52" i="7" s="1"/>
  <c r="G52" i="7" s="1"/>
  <c r="J52" i="7"/>
  <c r="I53" i="7" s="1"/>
  <c r="H51" i="7"/>
  <c r="F50" i="5"/>
  <c r="G50" i="5" s="1"/>
  <c r="D51" i="5"/>
  <c r="E51" i="5"/>
  <c r="J51" i="5"/>
  <c r="I52" i="5" s="1"/>
  <c r="H50" i="5"/>
  <c r="E53" i="7" l="1"/>
  <c r="D53" i="7"/>
  <c r="F53" i="7" s="1"/>
  <c r="G53" i="7" s="1"/>
  <c r="J53" i="7"/>
  <c r="I54" i="7" s="1"/>
  <c r="H52" i="7"/>
  <c r="H51" i="5"/>
  <c r="E52" i="5"/>
  <c r="D52" i="5"/>
  <c r="J52" i="5"/>
  <c r="I53" i="5" s="1"/>
  <c r="F51" i="5"/>
  <c r="G51" i="5" s="1"/>
  <c r="E54" i="7" l="1"/>
  <c r="D54" i="7"/>
  <c r="F54" i="7" s="1"/>
  <c r="G54" i="7" s="1"/>
  <c r="J54" i="7"/>
  <c r="I55" i="7" s="1"/>
  <c r="H53" i="7"/>
  <c r="F52" i="5"/>
  <c r="G52" i="5" s="1"/>
  <c r="D53" i="5"/>
  <c r="E53" i="5"/>
  <c r="J53" i="5"/>
  <c r="I54" i="5" s="1"/>
  <c r="H52" i="5"/>
  <c r="E55" i="7" l="1"/>
  <c r="D55" i="7"/>
  <c r="F55" i="7" s="1"/>
  <c r="G55" i="7" s="1"/>
  <c r="J55" i="7"/>
  <c r="I56" i="7" s="1"/>
  <c r="H54" i="7"/>
  <c r="H53" i="5"/>
  <c r="E54" i="5"/>
  <c r="D54" i="5"/>
  <c r="J54" i="5"/>
  <c r="I55" i="5" s="1"/>
  <c r="F53" i="5"/>
  <c r="G53" i="5" s="1"/>
  <c r="E56" i="7" l="1"/>
  <c r="D56" i="7"/>
  <c r="F56" i="7" s="1"/>
  <c r="G56" i="7" s="1"/>
  <c r="J56" i="7"/>
  <c r="I57" i="7" s="1"/>
  <c r="H55" i="7"/>
  <c r="F54" i="5"/>
  <c r="G54" i="5" s="1"/>
  <c r="D55" i="5"/>
  <c r="E55" i="5"/>
  <c r="J55" i="5"/>
  <c r="I56" i="5" s="1"/>
  <c r="H54" i="5"/>
  <c r="E57" i="7" l="1"/>
  <c r="D57" i="7"/>
  <c r="F57" i="7" s="1"/>
  <c r="G57" i="7" s="1"/>
  <c r="J57" i="7"/>
  <c r="I58" i="7" s="1"/>
  <c r="H56" i="7"/>
  <c r="H55" i="5"/>
  <c r="E56" i="5"/>
  <c r="D56" i="5"/>
  <c r="J56" i="5"/>
  <c r="I57" i="5" s="1"/>
  <c r="F55" i="5"/>
  <c r="G55" i="5" s="1"/>
  <c r="E58" i="7" l="1"/>
  <c r="D58" i="7"/>
  <c r="F58" i="7" s="1"/>
  <c r="G58" i="7" s="1"/>
  <c r="J58" i="7"/>
  <c r="I59" i="7" s="1"/>
  <c r="H57" i="7"/>
  <c r="F56" i="5"/>
  <c r="G56" i="5" s="1"/>
  <c r="D57" i="5"/>
  <c r="E57" i="5"/>
  <c r="J57" i="5"/>
  <c r="I58" i="5" s="1"/>
  <c r="H56" i="5"/>
  <c r="E59" i="7" l="1"/>
  <c r="D59" i="7"/>
  <c r="F59" i="7" s="1"/>
  <c r="G59" i="7" s="1"/>
  <c r="J59" i="7"/>
  <c r="I60" i="7" s="1"/>
  <c r="H58" i="7"/>
  <c r="H57" i="5"/>
  <c r="E58" i="5"/>
  <c r="D58" i="5"/>
  <c r="J58" i="5"/>
  <c r="I59" i="5" s="1"/>
  <c r="F57" i="5"/>
  <c r="G57" i="5" s="1"/>
  <c r="E60" i="7" l="1"/>
  <c r="D60" i="7"/>
  <c r="F60" i="7" s="1"/>
  <c r="G60" i="7" s="1"/>
  <c r="J60" i="7"/>
  <c r="I61" i="7" s="1"/>
  <c r="H59" i="7"/>
  <c r="F58" i="5"/>
  <c r="G58" i="5" s="1"/>
  <c r="D59" i="5"/>
  <c r="E59" i="5"/>
  <c r="J59" i="5"/>
  <c r="I60" i="5" s="1"/>
  <c r="H58" i="5"/>
  <c r="E61" i="7" l="1"/>
  <c r="D61" i="7"/>
  <c r="F61" i="7" s="1"/>
  <c r="G61" i="7" s="1"/>
  <c r="J61" i="7"/>
  <c r="I62" i="7" s="1"/>
  <c r="H60" i="7"/>
  <c r="H59" i="5"/>
  <c r="E60" i="5"/>
  <c r="D60" i="5"/>
  <c r="J60" i="5"/>
  <c r="I61" i="5" s="1"/>
  <c r="F59" i="5"/>
  <c r="G59" i="5" s="1"/>
  <c r="E62" i="7" l="1"/>
  <c r="D62" i="7"/>
  <c r="F62" i="7" s="1"/>
  <c r="G62" i="7" s="1"/>
  <c r="J62" i="7"/>
  <c r="I63" i="7" s="1"/>
  <c r="H61" i="7"/>
  <c r="F60" i="5"/>
  <c r="G60" i="5" s="1"/>
  <c r="E61" i="5"/>
  <c r="D61" i="5"/>
  <c r="J61" i="5"/>
  <c r="I62" i="5" s="1"/>
  <c r="H60" i="5"/>
  <c r="E63" i="7" l="1"/>
  <c r="D63" i="7"/>
  <c r="F63" i="7" s="1"/>
  <c r="G63" i="7" s="1"/>
  <c r="J63" i="7"/>
  <c r="I64" i="7" s="1"/>
  <c r="H62" i="7"/>
  <c r="F61" i="5"/>
  <c r="G61" i="5" s="1"/>
  <c r="E62" i="5"/>
  <c r="D62" i="5"/>
  <c r="J62" i="5"/>
  <c r="I63" i="5" s="1"/>
  <c r="H61" i="5"/>
  <c r="E64" i="7" l="1"/>
  <c r="D64" i="7"/>
  <c r="F64" i="7" s="1"/>
  <c r="G64" i="7" s="1"/>
  <c r="J64" i="7"/>
  <c r="I65" i="7" s="1"/>
  <c r="H63" i="7"/>
  <c r="H62" i="5"/>
  <c r="E63" i="5"/>
  <c r="D63" i="5"/>
  <c r="J63" i="5"/>
  <c r="I64" i="5" s="1"/>
  <c r="F62" i="5"/>
  <c r="G62" i="5" s="1"/>
  <c r="E65" i="7" l="1"/>
  <c r="D65" i="7"/>
  <c r="F65" i="7" s="1"/>
  <c r="G65" i="7" s="1"/>
  <c r="J65" i="7"/>
  <c r="I66" i="7" s="1"/>
  <c r="H64" i="7"/>
  <c r="F63" i="5"/>
  <c r="G63" i="5" s="1"/>
  <c r="E64" i="5"/>
  <c r="D64" i="5"/>
  <c r="J64" i="5"/>
  <c r="I65" i="5" s="1"/>
  <c r="H63" i="5"/>
  <c r="E66" i="7" l="1"/>
  <c r="D66" i="7"/>
  <c r="F66" i="7" s="1"/>
  <c r="G66" i="7" s="1"/>
  <c r="J66" i="7"/>
  <c r="I67" i="7" s="1"/>
  <c r="H65" i="7"/>
  <c r="H64" i="5"/>
  <c r="E65" i="5"/>
  <c r="D65" i="5"/>
  <c r="J65" i="5"/>
  <c r="I66" i="5" s="1"/>
  <c r="F64" i="5"/>
  <c r="G64" i="5" s="1"/>
  <c r="E67" i="7" l="1"/>
  <c r="D67" i="7"/>
  <c r="F67" i="7" s="1"/>
  <c r="G67" i="7" s="1"/>
  <c r="J67" i="7"/>
  <c r="I68" i="7" s="1"/>
  <c r="H66" i="7"/>
  <c r="F65" i="5"/>
  <c r="G65" i="5" s="1"/>
  <c r="E66" i="5"/>
  <c r="D66" i="5"/>
  <c r="J66" i="5"/>
  <c r="I67" i="5" s="1"/>
  <c r="H65" i="5"/>
  <c r="E68" i="7" l="1"/>
  <c r="D68" i="7"/>
  <c r="F68" i="7" s="1"/>
  <c r="G68" i="7" s="1"/>
  <c r="J68" i="7"/>
  <c r="I69" i="7" s="1"/>
  <c r="H67" i="7"/>
  <c r="F66" i="5"/>
  <c r="G66" i="5" s="1"/>
  <c r="E67" i="5"/>
  <c r="D67" i="5"/>
  <c r="J67" i="5"/>
  <c r="I68" i="5" s="1"/>
  <c r="H66" i="5"/>
  <c r="E69" i="7" l="1"/>
  <c r="D69" i="7"/>
  <c r="F69" i="7" s="1"/>
  <c r="G69" i="7" s="1"/>
  <c r="J69" i="7"/>
  <c r="I70" i="7" s="1"/>
  <c r="H68" i="7"/>
  <c r="F67" i="5"/>
  <c r="G67" i="5" s="1"/>
  <c r="E68" i="5"/>
  <c r="D68" i="5"/>
  <c r="J68" i="5"/>
  <c r="I69" i="5" s="1"/>
  <c r="H67" i="5"/>
  <c r="E70" i="7" l="1"/>
  <c r="D70" i="7"/>
  <c r="F70" i="7" s="1"/>
  <c r="G70" i="7" s="1"/>
  <c r="J70" i="7"/>
  <c r="I71" i="7" s="1"/>
  <c r="H69" i="7"/>
  <c r="F68" i="5"/>
  <c r="G68" i="5" s="1"/>
  <c r="E69" i="5"/>
  <c r="D69" i="5"/>
  <c r="J69" i="5"/>
  <c r="I70" i="5" s="1"/>
  <c r="H68" i="5"/>
  <c r="E71" i="7" l="1"/>
  <c r="D71" i="7"/>
  <c r="F71" i="7" s="1"/>
  <c r="G71" i="7" s="1"/>
  <c r="J71" i="7"/>
  <c r="H70" i="7"/>
  <c r="F69" i="5"/>
  <c r="G69" i="5" s="1"/>
  <c r="E70" i="5"/>
  <c r="D70" i="5"/>
  <c r="J70" i="5"/>
  <c r="I71" i="5" s="1"/>
  <c r="H69" i="5"/>
  <c r="H71" i="7" l="1"/>
  <c r="F70" i="5"/>
  <c r="G70" i="5" s="1"/>
  <c r="E71" i="5"/>
  <c r="D71" i="5"/>
  <c r="J71" i="5"/>
  <c r="H70" i="5"/>
  <c r="H71" i="5" l="1"/>
  <c r="F71" i="5"/>
  <c r="G71" i="5" s="1"/>
</calcChain>
</file>

<file path=xl/sharedStrings.xml><?xml version="1.0" encoding="utf-8"?>
<sst xmlns="http://schemas.openxmlformats.org/spreadsheetml/2006/main" count="296" uniqueCount="174">
  <si>
    <t>u(t) = u sin ωt</t>
  </si>
  <si>
    <t>ωt = 2π f i δt =</t>
  </si>
  <si>
    <t>i</t>
  </si>
  <si>
    <t>φ=</t>
  </si>
  <si>
    <t>Grad</t>
  </si>
  <si>
    <t>i(t) = i sin (ωt + φ)</t>
  </si>
  <si>
    <t>δt =</t>
  </si>
  <si>
    <t>ms</t>
  </si>
  <si>
    <t>rad</t>
  </si>
  <si>
    <t>f= 50 Hz</t>
  </si>
  <si>
    <t>Index i</t>
  </si>
  <si>
    <t>u(t)</t>
  </si>
  <si>
    <t>i(t)</t>
  </si>
  <si>
    <t>p(t)=u(t)*i(t)</t>
  </si>
  <si>
    <t>pav =</t>
  </si>
  <si>
    <t>Re</t>
  </si>
  <si>
    <t>Im</t>
  </si>
  <si>
    <t>UL=</t>
  </si>
  <si>
    <t>V</t>
  </si>
  <si>
    <t>Zeiger</t>
  </si>
  <si>
    <t>Startwert</t>
  </si>
  <si>
    <t>Endwert</t>
  </si>
  <si>
    <t>R=</t>
  </si>
  <si>
    <t>Ω</t>
  </si>
  <si>
    <t>Leitungsverluste</t>
  </si>
  <si>
    <t>I</t>
  </si>
  <si>
    <t>A</t>
  </si>
  <si>
    <t>X=</t>
  </si>
  <si>
    <t>Leitungsinduktivität</t>
  </si>
  <si>
    <t>UR</t>
  </si>
  <si>
    <t>UX</t>
  </si>
  <si>
    <t>(rad)</t>
  </si>
  <si>
    <t>UL</t>
  </si>
  <si>
    <t>Eingabefelder:</t>
  </si>
  <si>
    <t>UN</t>
  </si>
  <si>
    <t>P=</t>
  </si>
  <si>
    <t>kW</t>
  </si>
  <si>
    <t>Q=</t>
  </si>
  <si>
    <t>kVAr</t>
  </si>
  <si>
    <t>Zeiger für das Diagramm</t>
  </si>
  <si>
    <t>cos(φ)=</t>
  </si>
  <si>
    <t>I=</t>
  </si>
  <si>
    <t>|UN|=</t>
  </si>
  <si>
    <t>Vorzeichen φ</t>
  </si>
  <si>
    <t>UR=</t>
  </si>
  <si>
    <t>φN=</t>
  </si>
  <si>
    <r>
      <rPr>
        <u/>
        <sz val="12"/>
        <color rgb="FF000000"/>
        <rFont val="Calibri"/>
        <family val="2"/>
      </rPr>
      <t>UN</t>
    </r>
    <r>
      <rPr>
        <sz val="12"/>
        <color rgb="FF000000"/>
        <rFont val="Calibri"/>
        <family val="2"/>
        <charset val="134"/>
      </rPr>
      <t xml:space="preserve"> = </t>
    </r>
    <r>
      <rPr>
        <u/>
        <sz val="12"/>
        <color rgb="FF000000"/>
        <rFont val="Calibri"/>
        <family val="2"/>
      </rPr>
      <t>UR</t>
    </r>
    <r>
      <rPr>
        <sz val="12"/>
        <color rgb="FF000000"/>
        <rFont val="Calibri"/>
        <family val="2"/>
        <charset val="134"/>
      </rPr>
      <t xml:space="preserve"> + </t>
    </r>
    <r>
      <rPr>
        <u/>
        <sz val="12"/>
        <color rgb="FF000000"/>
        <rFont val="Calibri"/>
        <family val="2"/>
      </rPr>
      <t>UX</t>
    </r>
    <r>
      <rPr>
        <sz val="12"/>
        <color rgb="FF000000"/>
        <rFont val="Calibri"/>
        <family val="2"/>
        <charset val="134"/>
      </rPr>
      <t xml:space="preserve"> + </t>
    </r>
    <r>
      <rPr>
        <u/>
        <sz val="12"/>
        <color rgb="FF000000"/>
        <rFont val="Calibri"/>
        <family val="2"/>
      </rPr>
      <t>UL</t>
    </r>
  </si>
  <si>
    <t>UX=</t>
  </si>
  <si>
    <t>|UN|/|UE|=</t>
  </si>
  <si>
    <t>p.u.</t>
  </si>
  <si>
    <t>R1 =</t>
  </si>
  <si>
    <t>Ohm</t>
  </si>
  <si>
    <t>Reflexionsfaktoren:</t>
  </si>
  <si>
    <t>rb=</t>
  </si>
  <si>
    <t>Leitungslänge:</t>
  </si>
  <si>
    <t>m</t>
  </si>
  <si>
    <t>R2 =</t>
  </si>
  <si>
    <t>ra=</t>
  </si>
  <si>
    <t>Ausbreitungsgeschwindigkeit:</t>
  </si>
  <si>
    <t>m/s</t>
  </si>
  <si>
    <t>Rw =</t>
  </si>
  <si>
    <t>Laufzeit:</t>
  </si>
  <si>
    <t>us</t>
  </si>
  <si>
    <t>Eingabefeld</t>
  </si>
  <si>
    <t>Zeit</t>
  </si>
  <si>
    <t>&lt;0</t>
  </si>
  <si>
    <t>u1 =0</t>
  </si>
  <si>
    <t>ua=</t>
  </si>
  <si>
    <t>ub=</t>
  </si>
  <si>
    <t>u1 = 1</t>
  </si>
  <si>
    <t>=&gt;</t>
  </si>
  <si>
    <t>hinlaufende Welle</t>
  </si>
  <si>
    <t>&lt;=</t>
  </si>
  <si>
    <t>Reflexion (=rücklaufendes Signal)</t>
  </si>
  <si>
    <t>Summe</t>
  </si>
  <si>
    <t>ω</t>
  </si>
  <si>
    <t>ua(t)</t>
  </si>
  <si>
    <t>ub(t)</t>
  </si>
  <si>
    <t>t</t>
  </si>
  <si>
    <t>Transmission lines</t>
  </si>
  <si>
    <t>Line 1</t>
  </si>
  <si>
    <t>Line 2</t>
  </si>
  <si>
    <t>length (km)</t>
  </si>
  <si>
    <t>Voltage (kV)</t>
  </si>
  <si>
    <t>S (MVA)</t>
  </si>
  <si>
    <t>I (kA)</t>
  </si>
  <si>
    <t>wire radius (mm)</t>
  </si>
  <si>
    <t>number of wires</t>
  </si>
  <si>
    <t>cross section (mm^2)</t>
  </si>
  <si>
    <t>current density (A/mm^2)</t>
  </si>
  <si>
    <t>R' (Ohm/km)</t>
  </si>
  <si>
    <t>X' (Ohm/km)</t>
  </si>
  <si>
    <t>C' (nF/km)</t>
  </si>
  <si>
    <t>RW (Ohm)</t>
  </si>
  <si>
    <t>Pn (MW)</t>
  </si>
  <si>
    <t>R (Ohm)</t>
  </si>
  <si>
    <t>X (Ohm)</t>
  </si>
  <si>
    <t>C (uF)</t>
  </si>
  <si>
    <t>Q (Mvar)</t>
  </si>
  <si>
    <t>DSR</t>
  </si>
  <si>
    <t>C (mF)</t>
  </si>
  <si>
    <t>XC (Ohm)</t>
  </si>
  <si>
    <t>UC (kV)</t>
  </si>
  <si>
    <t>100 km</t>
  </si>
  <si>
    <t>Reflexionsfaktor</t>
  </si>
  <si>
    <t>QC (Mvar)</t>
  </si>
  <si>
    <t>Q/Q0 [%]</t>
  </si>
  <si>
    <t>RL [Ohm]</t>
  </si>
  <si>
    <t>rL</t>
  </si>
  <si>
    <t>cos φE</t>
  </si>
  <si>
    <t>sin φE</t>
  </si>
  <si>
    <t>e^φE</t>
  </si>
  <si>
    <r>
      <rPr>
        <u/>
        <sz val="12"/>
        <color rgb="FF000000"/>
        <rFont val="Calibri"/>
        <family val="2"/>
      </rPr>
      <t>r</t>
    </r>
    <r>
      <rPr>
        <sz val="12"/>
        <color rgb="FF000000"/>
        <rFont val="Calibri"/>
        <family val="2"/>
        <charset val="134"/>
      </rPr>
      <t>E</t>
    </r>
  </si>
  <si>
    <r>
      <rPr>
        <u/>
        <sz val="12"/>
        <color rgb="FF000000"/>
        <rFont val="Calibri"/>
        <family val="2"/>
      </rPr>
      <t>Z</t>
    </r>
    <r>
      <rPr>
        <sz val="12"/>
        <color rgb="FF000000"/>
        <rFont val="Calibri"/>
        <family val="2"/>
        <charset val="134"/>
      </rPr>
      <t>e/Rw</t>
    </r>
  </si>
  <si>
    <t>Re{Ze} [Ohm]</t>
  </si>
  <si>
    <t>Im{Ze} [Ohm]</t>
  </si>
  <si>
    <t>Anzahl C</t>
  </si>
  <si>
    <t>Thermische Grenzleistung mit Hochtemparaturbeseilung:</t>
  </si>
  <si>
    <t>km</t>
  </si>
  <si>
    <t>Thermische Grenzleistung tempärär (während kurativer Maßnahmen):</t>
  </si>
  <si>
    <t>Natürliche Leistung:</t>
  </si>
  <si>
    <t>Kenngrößen:</t>
  </si>
  <si>
    <t>L'=</t>
  </si>
  <si>
    <t>mH/km</t>
  </si>
  <si>
    <t>v=1/√(L'C')</t>
  </si>
  <si>
    <t>RW=√(L'/C')</t>
  </si>
  <si>
    <t>λ=v/f</t>
  </si>
  <si>
    <t>Pn=</t>
  </si>
  <si>
    <t>MW</t>
  </si>
  <si>
    <t>In=</t>
  </si>
  <si>
    <t>kA</t>
  </si>
  <si>
    <t>l/λ=</t>
  </si>
  <si>
    <t>φΕ=</t>
  </si>
  <si>
    <t>R'=</t>
  </si>
  <si>
    <t>Ohm/km</t>
  </si>
  <si>
    <t>X'=</t>
  </si>
  <si>
    <t>C'=</t>
  </si>
  <si>
    <t>nF/km</t>
  </si>
  <si>
    <t>C=</t>
  </si>
  <si>
    <t>nF</t>
  </si>
  <si>
    <t>Δl=</t>
  </si>
  <si>
    <t>ZC=</t>
  </si>
  <si>
    <t>RL=</t>
  </si>
  <si>
    <r>
      <rPr>
        <u/>
        <sz val="12"/>
        <color rgb="FF000000"/>
        <rFont val="Calibri"/>
        <family val="2"/>
      </rPr>
      <t>Z</t>
    </r>
    <r>
      <rPr>
        <sz val="12"/>
        <color rgb="FF000000"/>
        <rFont val="Calibri"/>
        <family val="2"/>
        <charset val="134"/>
      </rPr>
      <t>C=</t>
    </r>
  </si>
  <si>
    <t>Cs=</t>
  </si>
  <si>
    <t>uF</t>
  </si>
  <si>
    <t>S=</t>
  </si>
  <si>
    <t>MVA</t>
  </si>
  <si>
    <t>Xcs=</t>
  </si>
  <si>
    <t>Stufe (jeder n-te DSR an):</t>
  </si>
  <si>
    <t>R'W=</t>
  </si>
  <si>
    <t>Eingaben</t>
  </si>
  <si>
    <t>Ausgaben</t>
  </si>
  <si>
    <t>Computer</t>
  </si>
  <si>
    <t>Länge [km]</t>
  </si>
  <si>
    <t>ein/aus</t>
  </si>
  <si>
    <r>
      <rPr>
        <sz val="12"/>
        <color rgb="FF000000"/>
        <rFont val="Calibri"/>
        <family val="2"/>
        <charset val="1"/>
      </rPr>
      <t>Re {</t>
    </r>
    <r>
      <rPr>
        <u/>
        <sz val="12"/>
        <color rgb="FF000000"/>
        <rFont val="Calibri"/>
        <family val="2"/>
      </rPr>
      <t>Z</t>
    </r>
    <r>
      <rPr>
        <sz val="12"/>
        <color rgb="FF000000"/>
        <rFont val="Calibri"/>
        <family val="2"/>
        <charset val="134"/>
      </rPr>
      <t>i}</t>
    </r>
  </si>
  <si>
    <r>
      <rPr>
        <sz val="12"/>
        <color rgb="FF000000"/>
        <rFont val="Calibri"/>
        <family val="2"/>
        <charset val="1"/>
      </rPr>
      <t>Im{</t>
    </r>
    <r>
      <rPr>
        <u/>
        <sz val="12"/>
        <color rgb="FF000000"/>
        <rFont val="Calibri"/>
        <family val="2"/>
      </rPr>
      <t>Z</t>
    </r>
    <r>
      <rPr>
        <sz val="12"/>
        <color rgb="FF000000"/>
        <rFont val="Calibri"/>
        <family val="2"/>
        <charset val="134"/>
      </rPr>
      <t>i}</t>
    </r>
  </si>
  <si>
    <r>
      <rPr>
        <sz val="12"/>
        <color rgb="FF000000"/>
        <rFont val="Calibri"/>
        <family val="2"/>
        <charset val="1"/>
      </rPr>
      <t>|</t>
    </r>
    <r>
      <rPr>
        <u/>
        <sz val="12"/>
        <color rgb="FF000000"/>
        <rFont val="Calibri"/>
        <family val="2"/>
      </rPr>
      <t>Z</t>
    </r>
    <r>
      <rPr>
        <sz val="12"/>
        <color rgb="FF000000"/>
        <rFont val="Calibri"/>
        <family val="2"/>
        <charset val="134"/>
      </rPr>
      <t>i|</t>
    </r>
  </si>
  <si>
    <r>
      <rPr>
        <sz val="12"/>
        <color rgb="FF000000"/>
        <rFont val="Calibri"/>
        <family val="2"/>
        <charset val="1"/>
      </rPr>
      <t>|</t>
    </r>
    <r>
      <rPr>
        <u/>
        <sz val="12"/>
        <color rgb="FF000000"/>
        <rFont val="Calibri"/>
        <family val="2"/>
      </rPr>
      <t>Z</t>
    </r>
    <r>
      <rPr>
        <sz val="12"/>
        <color rgb="FF000000"/>
        <rFont val="Calibri"/>
        <family val="2"/>
        <charset val="134"/>
      </rPr>
      <t>i|/RL</t>
    </r>
  </si>
  <si>
    <t>cosφ</t>
  </si>
  <si>
    <r>
      <rPr>
        <u/>
        <sz val="12"/>
        <color rgb="FF000000"/>
        <rFont val="Calibri"/>
        <family val="2"/>
      </rPr>
      <t>Z</t>
    </r>
    <r>
      <rPr>
        <sz val="12"/>
        <color rgb="FF000000"/>
        <rFont val="Calibri"/>
        <family val="2"/>
        <charset val="134"/>
      </rPr>
      <t>i</t>
    </r>
  </si>
  <si>
    <t>Zi1</t>
  </si>
  <si>
    <t>Zi2</t>
  </si>
  <si>
    <r>
      <t>Re {</t>
    </r>
    <r>
      <rPr>
        <u/>
        <sz val="12"/>
        <color rgb="FF000000"/>
        <rFont val="Calibri"/>
        <family val="2"/>
      </rPr>
      <t>Z</t>
    </r>
    <r>
      <rPr>
        <sz val="12"/>
        <color rgb="FF000000"/>
        <rFont val="Calibri"/>
        <family val="2"/>
        <charset val="134"/>
      </rPr>
      <t>i}</t>
    </r>
  </si>
  <si>
    <r>
      <t>Im{</t>
    </r>
    <r>
      <rPr>
        <u/>
        <sz val="12"/>
        <color rgb="FF000000"/>
        <rFont val="Calibri"/>
        <family val="2"/>
      </rPr>
      <t>Z</t>
    </r>
    <r>
      <rPr>
        <sz val="12"/>
        <color rgb="FF000000"/>
        <rFont val="Calibri"/>
        <family val="2"/>
        <charset val="134"/>
      </rPr>
      <t>i}</t>
    </r>
  </si>
  <si>
    <r>
      <t>|</t>
    </r>
    <r>
      <rPr>
        <u/>
        <sz val="12"/>
        <color rgb="FF000000"/>
        <rFont val="Calibri"/>
        <family val="2"/>
      </rPr>
      <t>Z</t>
    </r>
    <r>
      <rPr>
        <sz val="12"/>
        <color rgb="FF000000"/>
        <rFont val="Calibri"/>
        <family val="2"/>
        <charset val="134"/>
      </rPr>
      <t>i|</t>
    </r>
  </si>
  <si>
    <r>
      <t>|</t>
    </r>
    <r>
      <rPr>
        <u/>
        <sz val="12"/>
        <color rgb="FF000000"/>
        <rFont val="Calibri"/>
        <family val="2"/>
      </rPr>
      <t>Z</t>
    </r>
    <r>
      <rPr>
        <sz val="12"/>
        <color rgb="FF000000"/>
        <rFont val="Calibri"/>
        <family val="2"/>
        <charset val="134"/>
      </rPr>
      <t>i|/RL</t>
    </r>
  </si>
  <si>
    <t>U=</t>
  </si>
  <si>
    <t>kV</t>
  </si>
  <si>
    <t>Wellenlänge</t>
  </si>
  <si>
    <t>λ=</t>
  </si>
  <si>
    <t>vc=</t>
  </si>
  <si>
    <t>10^6 m/s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</si>
</sst>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\ %"/>
    <numFmt numFmtId="166" formatCode="0.000"/>
  </numFmts>
  <fonts count="7" x14ac:knownFonts="1">
    <font>
      <sz val="12"/>
      <color rgb="FF000000"/>
      <name val="Calibri"/>
      <family val="2"/>
      <charset val="134"/>
    </font>
    <font>
      <sz val="12"/>
      <color rgb="FF000000"/>
      <name val="Calibri"/>
      <family val="2"/>
      <charset val="1"/>
    </font>
    <font>
      <u/>
      <sz val="12"/>
      <color rgb="FF000000"/>
      <name val="Calibri"/>
      <family val="2"/>
    </font>
    <font>
      <b/>
      <sz val="12"/>
      <color rgb="FF000000"/>
      <name val="Calibri"/>
      <family val="2"/>
      <charset val="1"/>
    </font>
    <font>
      <i/>
      <sz val="12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EBF1DE"/>
        <bgColor rgb="FFFDEADA"/>
      </patternFill>
    </fill>
    <fill>
      <patternFill patternType="solid">
        <fgColor rgb="FFCCFFCC"/>
        <bgColor rgb="FFDBEEF4"/>
      </patternFill>
    </fill>
    <fill>
      <patternFill patternType="solid">
        <fgColor rgb="FFDBEEF4"/>
        <bgColor rgb="FFEBF1DE"/>
      </patternFill>
    </fill>
    <fill>
      <patternFill patternType="solid">
        <fgColor rgb="FFFDEADA"/>
        <bgColor rgb="FFEBF1DE"/>
      </patternFill>
    </fill>
    <fill>
      <patternFill patternType="solid">
        <fgColor rgb="FFFFFFFF"/>
        <bgColor rgb="FFEBF1DE"/>
      </patternFill>
    </fill>
    <fill>
      <patternFill patternType="solid">
        <fgColor rgb="FFE6B9B8"/>
        <bgColor rgb="FFFFA7A4"/>
      </patternFill>
    </fill>
    <fill>
      <patternFill patternType="solid">
        <fgColor rgb="FFE6E0EC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rgb="FFE4DFEC"/>
        <bgColor rgb="FFE4DFEC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7" tint="0.79998168889431442"/>
        <bgColor rgb="FFFDE9D9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9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2" borderId="2" xfId="0" applyFill="1" applyBorder="1"/>
    <xf numFmtId="0" fontId="0" fillId="3" borderId="3" xfId="0" applyFill="1" applyBorder="1"/>
    <xf numFmtId="0" fontId="0" fillId="2" borderId="4" xfId="0" applyFill="1" applyBorder="1"/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9" xfId="0" applyBorder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0" xfId="0" applyFill="1"/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0" xfId="0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0" borderId="5" xfId="0" applyBorder="1"/>
    <xf numFmtId="164" fontId="0" fillId="0" borderId="1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5" borderId="0" xfId="0" applyFill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0" borderId="5" xfId="0" applyNumberFormat="1" applyBorder="1"/>
    <xf numFmtId="164" fontId="0" fillId="0" borderId="6" xfId="0" applyNumberFormat="1" applyBorder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1" xfId="0" applyBorder="1" applyAlignment="1">
      <alignment horizontal="right"/>
    </xf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3" borderId="13" xfId="0" applyFill="1" applyBorder="1"/>
    <xf numFmtId="0" fontId="0" fillId="0" borderId="7" xfId="0" applyBorder="1" applyAlignment="1">
      <alignment horizontal="right"/>
    </xf>
    <xf numFmtId="0" fontId="0" fillId="3" borderId="14" xfId="0" applyFill="1" applyBorder="1"/>
    <xf numFmtId="0" fontId="2" fillId="0" borderId="0" xfId="0" applyFont="1"/>
    <xf numFmtId="2" fontId="0" fillId="0" borderId="0" xfId="0" applyNumberFormat="1"/>
    <xf numFmtId="0" fontId="0" fillId="6" borderId="0" xfId="0" applyFill="1"/>
    <xf numFmtId="2" fontId="0" fillId="6" borderId="0" xfId="0" applyNumberFormat="1" applyFill="1"/>
    <xf numFmtId="0" fontId="0" fillId="3" borderId="0" xfId="0" applyFill="1"/>
    <xf numFmtId="2" fontId="0" fillId="3" borderId="0" xfId="0" applyNumberFormat="1" applyFill="1"/>
    <xf numFmtId="0" fontId="0" fillId="0" borderId="15" xfId="0" applyBorder="1" applyAlignment="1">
      <alignment horizontal="right"/>
    </xf>
    <xf numFmtId="0" fontId="0" fillId="0" borderId="16" xfId="0" applyBorder="1"/>
    <xf numFmtId="0" fontId="3" fillId="0" borderId="16" xfId="0" applyFont="1" applyBorder="1"/>
    <xf numFmtId="2" fontId="0" fillId="0" borderId="16" xfId="0" applyNumberFormat="1" applyBorder="1"/>
    <xf numFmtId="2" fontId="4" fillId="0" borderId="16" xfId="0" applyNumberFormat="1" applyFont="1" applyBorder="1"/>
    <xf numFmtId="0" fontId="0" fillId="0" borderId="17" xfId="0" applyBorder="1"/>
    <xf numFmtId="0" fontId="0" fillId="5" borderId="18" xfId="0" applyFill="1" applyBorder="1"/>
    <xf numFmtId="0" fontId="0" fillId="5" borderId="19" xfId="0" applyFill="1" applyBorder="1"/>
    <xf numFmtId="2" fontId="0" fillId="5" borderId="19" xfId="0" applyNumberFormat="1" applyFill="1" applyBorder="1"/>
    <xf numFmtId="2" fontId="4" fillId="5" borderId="19" xfId="0" applyNumberFormat="1" applyFont="1" applyFill="1" applyBorder="1"/>
    <xf numFmtId="0" fontId="0" fillId="5" borderId="20" xfId="0" applyFill="1" applyBorder="1"/>
    <xf numFmtId="0" fontId="0" fillId="0" borderId="15" xfId="0" applyBorder="1"/>
    <xf numFmtId="2" fontId="0" fillId="0" borderId="21" xfId="0" applyNumberFormat="1" applyBorder="1"/>
    <xf numFmtId="0" fontId="0" fillId="4" borderId="22" xfId="0" applyFill="1" applyBorder="1"/>
    <xf numFmtId="0" fontId="0" fillId="4" borderId="0" xfId="0" applyFill="1"/>
    <xf numFmtId="2" fontId="4" fillId="4" borderId="0" xfId="0" applyNumberFormat="1" applyFont="1" applyFill="1"/>
    <xf numFmtId="2" fontId="0" fillId="7" borderId="23" xfId="0" applyNumberFormat="1" applyFill="1" applyBorder="1"/>
    <xf numFmtId="0" fontId="0" fillId="4" borderId="11" xfId="0" applyFill="1" applyBorder="1"/>
    <xf numFmtId="0" fontId="0" fillId="0" borderId="18" xfId="0" applyBorder="1"/>
    <xf numFmtId="0" fontId="0" fillId="0" borderId="19" xfId="0" applyBorder="1"/>
    <xf numFmtId="2" fontId="4" fillId="0" borderId="19" xfId="0" applyNumberFormat="1" applyFont="1" applyBorder="1"/>
    <xf numFmtId="2" fontId="0" fillId="0" borderId="24" xfId="0" applyNumberFormat="1" applyBorder="1"/>
    <xf numFmtId="0" fontId="0" fillId="0" borderId="20" xfId="0" applyBorder="1"/>
    <xf numFmtId="0" fontId="0" fillId="5" borderId="22" xfId="0" applyFill="1" applyBorder="1"/>
    <xf numFmtId="0" fontId="0" fillId="5" borderId="0" xfId="0" applyFill="1"/>
    <xf numFmtId="2" fontId="4" fillId="5" borderId="0" xfId="0" applyNumberFormat="1" applyFont="1" applyFill="1"/>
    <xf numFmtId="0" fontId="0" fillId="5" borderId="11" xfId="0" applyFill="1" applyBorder="1"/>
    <xf numFmtId="0" fontId="0" fillId="0" borderId="11" xfId="0" applyBorder="1"/>
    <xf numFmtId="2" fontId="0" fillId="4" borderId="23" xfId="0" applyNumberFormat="1" applyFill="1" applyBorder="1"/>
    <xf numFmtId="2" fontId="0" fillId="5" borderId="23" xfId="0" applyNumberFormat="1" applyFill="1" applyBorder="1"/>
    <xf numFmtId="1" fontId="0" fillId="0" borderId="0" xfId="0" applyNumberFormat="1"/>
    <xf numFmtId="0" fontId="1" fillId="0" borderId="0" xfId="1" applyAlignment="1">
      <alignment horizontal="center" vertical="top"/>
    </xf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>
      <alignment horizontal="left" vertical="top"/>
    </xf>
    <xf numFmtId="0" fontId="1" fillId="5" borderId="25" xfId="1" applyFill="1" applyBorder="1" applyAlignment="1">
      <alignment horizontal="center" vertical="top"/>
    </xf>
    <xf numFmtId="0" fontId="1" fillId="5" borderId="26" xfId="1" applyFill="1" applyBorder="1" applyAlignment="1">
      <alignment horizontal="center"/>
    </xf>
    <xf numFmtId="0" fontId="1" fillId="5" borderId="0" xfId="1" applyFill="1" applyAlignment="1">
      <alignment horizontal="center" vertical="top"/>
    </xf>
    <xf numFmtId="2" fontId="1" fillId="0" borderId="0" xfId="1" applyNumberFormat="1" applyAlignment="1">
      <alignment horizontal="center" vertical="top"/>
    </xf>
    <xf numFmtId="1" fontId="1" fillId="0" borderId="0" xfId="1" applyNumberFormat="1" applyAlignment="1">
      <alignment horizontal="center" vertical="top"/>
    </xf>
    <xf numFmtId="0" fontId="1" fillId="0" borderId="1" xfId="1" applyBorder="1" applyAlignment="1">
      <alignment horizontal="center" vertical="top"/>
    </xf>
    <xf numFmtId="0" fontId="1" fillId="0" borderId="2" xfId="1" applyBorder="1" applyAlignment="1">
      <alignment horizontal="center" vertical="top"/>
    </xf>
    <xf numFmtId="0" fontId="1" fillId="8" borderId="2" xfId="1" applyFill="1" applyBorder="1" applyAlignment="1">
      <alignment horizontal="center" vertical="top"/>
    </xf>
    <xf numFmtId="0" fontId="1" fillId="8" borderId="4" xfId="1" applyFill="1" applyBorder="1" applyAlignment="1">
      <alignment horizontal="center" vertical="top"/>
    </xf>
    <xf numFmtId="0" fontId="1" fillId="0" borderId="5" xfId="1" applyBorder="1" applyAlignment="1">
      <alignment horizontal="center" vertical="top"/>
    </xf>
    <xf numFmtId="0" fontId="1" fillId="8" borderId="0" xfId="1" applyFill="1" applyAlignment="1">
      <alignment horizontal="center" vertical="top"/>
    </xf>
    <xf numFmtId="0" fontId="1" fillId="8" borderId="6" xfId="1" applyFill="1" applyBorder="1" applyAlignment="1">
      <alignment horizontal="center" vertical="top"/>
    </xf>
    <xf numFmtId="0" fontId="1" fillId="0" borderId="7" xfId="1" applyBorder="1" applyAlignment="1">
      <alignment horizontal="center" vertical="top"/>
    </xf>
    <xf numFmtId="0" fontId="1" fillId="0" borderId="8" xfId="1" applyBorder="1" applyAlignment="1">
      <alignment horizontal="center" vertical="top"/>
    </xf>
    <xf numFmtId="2" fontId="1" fillId="8" borderId="8" xfId="1" applyNumberFormat="1" applyFill="1" applyBorder="1" applyAlignment="1">
      <alignment horizontal="center" vertical="top"/>
    </xf>
    <xf numFmtId="0" fontId="1" fillId="8" borderId="9" xfId="1" applyFill="1" applyBorder="1" applyAlignment="1">
      <alignment horizontal="center" vertical="top"/>
    </xf>
    <xf numFmtId="0" fontId="1" fillId="0" borderId="25" xfId="1" applyBorder="1" applyAlignment="1">
      <alignment horizontal="center" vertical="top"/>
    </xf>
    <xf numFmtId="0" fontId="1" fillId="0" borderId="27" xfId="1" applyBorder="1" applyAlignment="1">
      <alignment horizontal="center" vertical="top"/>
    </xf>
    <xf numFmtId="1" fontId="1" fillId="0" borderId="27" xfId="1" applyNumberFormat="1" applyBorder="1" applyAlignment="1">
      <alignment horizontal="center" vertical="top"/>
    </xf>
    <xf numFmtId="1" fontId="1" fillId="0" borderId="26" xfId="1" applyNumberForma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0" fontId="1" fillId="0" borderId="4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0" xfId="1" applyNumberFormat="1" applyAlignment="1">
      <alignment horizontal="center" vertical="top"/>
    </xf>
    <xf numFmtId="0" fontId="2" fillId="0" borderId="0" xfId="1" applyFont="1" applyAlignment="1">
      <alignment horizontal="center"/>
    </xf>
    <xf numFmtId="0" fontId="2" fillId="0" borderId="0" xfId="1" applyFont="1"/>
    <xf numFmtId="1" fontId="1" fillId="0" borderId="8" xfId="1" applyNumberFormat="1" applyBorder="1" applyAlignment="1">
      <alignment horizontal="center" vertical="top"/>
    </xf>
    <xf numFmtId="1" fontId="1" fillId="0" borderId="9" xfId="1" applyNumberFormat="1" applyBorder="1" applyAlignment="1">
      <alignment horizontal="center" vertical="top"/>
    </xf>
    <xf numFmtId="1" fontId="1" fillId="0" borderId="0" xfId="1" applyNumberFormat="1" applyAlignment="1">
      <alignment horizontal="center"/>
    </xf>
    <xf numFmtId="165" fontId="1" fillId="0" borderId="0" xfId="1" applyNumberFormat="1" applyAlignment="1">
      <alignment horizontal="center"/>
    </xf>
    <xf numFmtId="166" fontId="1" fillId="0" borderId="0" xfId="1" applyNumberFormat="1" applyAlignment="1">
      <alignment horizontal="center"/>
    </xf>
    <xf numFmtId="166" fontId="1" fillId="0" borderId="0" xfId="1" applyNumberFormat="1"/>
    <xf numFmtId="164" fontId="1" fillId="0" borderId="0" xfId="1" applyNumberFormat="1"/>
    <xf numFmtId="166" fontId="1" fillId="0" borderId="2" xfId="1" applyNumberFormat="1" applyBorder="1" applyAlignment="1">
      <alignment horizontal="center" vertical="top"/>
    </xf>
    <xf numFmtId="3" fontId="1" fillId="0" borderId="0" xfId="1" applyNumberFormat="1" applyAlignment="1">
      <alignment horizontal="center" vertical="top"/>
    </xf>
    <xf numFmtId="0" fontId="1" fillId="0" borderId="9" xfId="1" applyBorder="1" applyAlignment="1">
      <alignment horizontal="center"/>
    </xf>
    <xf numFmtId="1" fontId="1" fillId="0" borderId="2" xfId="1" applyNumberFormat="1" applyBorder="1" applyAlignment="1">
      <alignment horizontal="center" vertical="top"/>
    </xf>
    <xf numFmtId="166" fontId="1" fillId="0" borderId="4" xfId="1" applyNumberFormat="1" applyBorder="1" applyAlignment="1">
      <alignment horizontal="center" vertical="top"/>
    </xf>
    <xf numFmtId="166" fontId="1" fillId="0" borderId="8" xfId="1" applyNumberFormat="1" applyBorder="1" applyAlignment="1">
      <alignment horizontal="center" vertical="top"/>
    </xf>
    <xf numFmtId="166" fontId="1" fillId="0" borderId="0" xfId="1" applyNumberFormat="1" applyAlignment="1">
      <alignment horizontal="center" vertical="top"/>
    </xf>
    <xf numFmtId="0" fontId="1" fillId="6" borderId="0" xfId="1" applyFill="1"/>
    <xf numFmtId="0" fontId="1" fillId="5" borderId="0" xfId="1" applyFill="1"/>
    <xf numFmtId="1" fontId="1" fillId="0" borderId="0" xfId="1" applyNumberFormat="1"/>
    <xf numFmtId="0" fontId="5" fillId="8" borderId="1" xfId="1" applyFont="1" applyFill="1" applyBorder="1"/>
    <xf numFmtId="2" fontId="5" fillId="8" borderId="2" xfId="1" applyNumberFormat="1" applyFont="1" applyFill="1" applyBorder="1"/>
    <xf numFmtId="0" fontId="5" fillId="8" borderId="4" xfId="1" applyFont="1" applyFill="1" applyBorder="1"/>
    <xf numFmtId="0" fontId="5" fillId="8" borderId="7" xfId="1" applyFont="1" applyFill="1" applyBorder="1"/>
    <xf numFmtId="1" fontId="5" fillId="8" borderId="8" xfId="1" applyNumberFormat="1" applyFont="1" applyFill="1" applyBorder="1"/>
    <xf numFmtId="0" fontId="5" fillId="8" borderId="9" xfId="1" applyFont="1" applyFill="1" applyBorder="1"/>
    <xf numFmtId="2" fontId="1" fillId="0" borderId="0" xfId="1" applyNumberFormat="1"/>
    <xf numFmtId="0" fontId="1" fillId="8" borderId="25" xfId="1" applyFill="1" applyBorder="1"/>
    <xf numFmtId="1" fontId="1" fillId="8" borderId="27" xfId="1" applyNumberFormat="1" applyFill="1" applyBorder="1"/>
    <xf numFmtId="0" fontId="1" fillId="8" borderId="26" xfId="1" applyFill="1" applyBorder="1"/>
    <xf numFmtId="0" fontId="1" fillId="0" borderId="1" xfId="1" applyBorder="1" applyAlignment="1">
      <alignment horizontal="center"/>
    </xf>
    <xf numFmtId="0" fontId="1" fillId="0" borderId="2" xfId="1" applyBorder="1"/>
    <xf numFmtId="0" fontId="1" fillId="0" borderId="2" xfId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5" borderId="0" xfId="1" applyFill="1" applyAlignment="1">
      <alignment horizontal="center"/>
    </xf>
    <xf numFmtId="0" fontId="1" fillId="0" borderId="6" xfId="1" applyBorder="1"/>
    <xf numFmtId="164" fontId="1" fillId="0" borderId="5" xfId="1" applyNumberFormat="1" applyBorder="1" applyAlignment="1">
      <alignment horizontal="center"/>
    </xf>
    <xf numFmtId="164" fontId="1" fillId="0" borderId="0" xfId="1" applyNumberFormat="1" applyAlignment="1">
      <alignment horizontal="center"/>
    </xf>
    <xf numFmtId="2" fontId="1" fillId="0" borderId="5" xfId="1" applyNumberFormat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164" fontId="1" fillId="0" borderId="8" xfId="1" applyNumberFormat="1" applyBorder="1" applyAlignment="1">
      <alignment horizontal="center"/>
    </xf>
    <xf numFmtId="2" fontId="1" fillId="0" borderId="7" xfId="1" applyNumberFormat="1" applyBorder="1"/>
    <xf numFmtId="2" fontId="1" fillId="0" borderId="8" xfId="1" applyNumberFormat="1" applyBorder="1"/>
    <xf numFmtId="0" fontId="1" fillId="0" borderId="9" xfId="1" applyBorder="1"/>
    <xf numFmtId="0" fontId="0" fillId="0" borderId="0" xfId="2" applyFont="1"/>
    <xf numFmtId="0" fontId="0" fillId="9" borderId="0" xfId="2" applyFont="1" applyFill="1"/>
    <xf numFmtId="0" fontId="0" fillId="10" borderId="0" xfId="2" applyFont="1" applyFill="1"/>
    <xf numFmtId="1" fontId="0" fillId="0" borderId="0" xfId="2" applyNumberFormat="1" applyFont="1"/>
    <xf numFmtId="0" fontId="0" fillId="11" borderId="29" xfId="2" applyFont="1" applyFill="1" applyBorder="1"/>
    <xf numFmtId="2" fontId="0" fillId="11" borderId="30" xfId="2" applyNumberFormat="1" applyFont="1" applyFill="1" applyBorder="1"/>
    <xf numFmtId="0" fontId="0" fillId="11" borderId="31" xfId="2" applyFont="1" applyFill="1" applyBorder="1"/>
    <xf numFmtId="0" fontId="0" fillId="11" borderId="32" xfId="2" applyFont="1" applyFill="1" applyBorder="1"/>
    <xf numFmtId="1" fontId="0" fillId="11" borderId="33" xfId="2" applyNumberFormat="1" applyFont="1" applyFill="1" applyBorder="1"/>
    <xf numFmtId="0" fontId="0" fillId="11" borderId="34" xfId="2" applyFont="1" applyFill="1" applyBorder="1"/>
    <xf numFmtId="2" fontId="0" fillId="0" borderId="0" xfId="2" applyNumberFormat="1" applyFont="1"/>
    <xf numFmtId="0" fontId="0" fillId="11" borderId="35" xfId="2" applyFont="1" applyFill="1" applyBorder="1"/>
    <xf numFmtId="0" fontId="0" fillId="11" borderId="37" xfId="2" applyFont="1" applyFill="1" applyBorder="1"/>
    <xf numFmtId="0" fontId="0" fillId="0" borderId="29" xfId="2" applyFont="1" applyBorder="1" applyAlignment="1">
      <alignment horizontal="center"/>
    </xf>
    <xf numFmtId="0" fontId="0" fillId="0" borderId="30" xfId="2" applyFont="1" applyBorder="1"/>
    <xf numFmtId="0" fontId="0" fillId="0" borderId="31" xfId="2" applyFont="1" applyBorder="1" applyAlignment="1">
      <alignment horizontal="center"/>
    </xf>
    <xf numFmtId="0" fontId="0" fillId="0" borderId="30" xfId="2" applyFont="1" applyBorder="1" applyAlignment="1">
      <alignment horizontal="center"/>
    </xf>
    <xf numFmtId="0" fontId="0" fillId="0" borderId="39" xfId="2" applyFont="1" applyBorder="1" applyAlignment="1">
      <alignment horizontal="center"/>
    </xf>
    <xf numFmtId="0" fontId="0" fillId="0" borderId="0" xfId="2" applyFont="1" applyAlignment="1">
      <alignment horizontal="center"/>
    </xf>
    <xf numFmtId="0" fontId="0" fillId="0" borderId="40" xfId="2" applyFont="1" applyBorder="1" applyAlignment="1">
      <alignment horizontal="center"/>
    </xf>
    <xf numFmtId="0" fontId="0" fillId="10" borderId="0" xfId="2" applyFont="1" applyFill="1" applyAlignment="1">
      <alignment horizontal="center"/>
    </xf>
    <xf numFmtId="0" fontId="0" fillId="0" borderId="40" xfId="2" applyFont="1" applyBorder="1"/>
    <xf numFmtId="164" fontId="0" fillId="0" borderId="39" xfId="2" applyNumberFormat="1" applyFon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2" fontId="0" fillId="0" borderId="39" xfId="2" applyNumberFormat="1" applyFont="1" applyBorder="1"/>
    <xf numFmtId="0" fontId="0" fillId="0" borderId="32" xfId="2" applyFont="1" applyBorder="1" applyAlignment="1">
      <alignment horizontal="center"/>
    </xf>
    <xf numFmtId="0" fontId="0" fillId="0" borderId="33" xfId="2" applyFont="1" applyBorder="1" applyAlignment="1">
      <alignment horizontal="center"/>
    </xf>
    <xf numFmtId="0" fontId="0" fillId="0" borderId="34" xfId="2" applyFont="1" applyBorder="1" applyAlignment="1">
      <alignment horizontal="center"/>
    </xf>
    <xf numFmtId="164" fontId="0" fillId="0" borderId="32" xfId="2" applyNumberFormat="1" applyFont="1" applyBorder="1" applyAlignment="1">
      <alignment horizontal="center"/>
    </xf>
    <xf numFmtId="164" fontId="0" fillId="0" borderId="33" xfId="2" applyNumberFormat="1" applyFont="1" applyBorder="1" applyAlignment="1">
      <alignment horizontal="center"/>
    </xf>
    <xf numFmtId="2" fontId="0" fillId="0" borderId="32" xfId="2" applyNumberFormat="1" applyFont="1" applyBorder="1"/>
    <xf numFmtId="2" fontId="0" fillId="0" borderId="33" xfId="2" applyNumberFormat="1" applyFont="1" applyBorder="1"/>
    <xf numFmtId="0" fontId="0" fillId="0" borderId="34" xfId="2" applyFont="1" applyBorder="1"/>
    <xf numFmtId="0" fontId="6" fillId="0" borderId="0" xfId="2"/>
    <xf numFmtId="0" fontId="0" fillId="12" borderId="0" xfId="2" applyFont="1" applyFill="1"/>
    <xf numFmtId="0" fontId="0" fillId="13" borderId="0" xfId="2" applyFont="1" applyFill="1"/>
    <xf numFmtId="0" fontId="0" fillId="14" borderId="0" xfId="2" applyFont="1" applyFill="1"/>
    <xf numFmtId="0" fontId="1" fillId="0" borderId="28" xfId="1" applyBorder="1" applyAlignment="1">
      <alignment horizontal="center"/>
    </xf>
    <xf numFmtId="0" fontId="0" fillId="0" borderId="38" xfId="2" applyFont="1" applyBorder="1" applyAlignment="1">
      <alignment horizontal="center"/>
    </xf>
    <xf numFmtId="2" fontId="0" fillId="11" borderId="36" xfId="2" applyNumberFormat="1" applyFont="1" applyFill="1" applyBorder="1"/>
    <xf numFmtId="164" fontId="0" fillId="0" borderId="0" xfId="2" applyNumberFormat="1" applyFont="1"/>
  </cellXfs>
  <cellStyles count="3">
    <cellStyle name="Standard" xfId="0" builtinId="0"/>
    <cellStyle name="Standard 2" xfId="1" xr:uid="{00000000-0005-0000-0000-000006000000}"/>
    <cellStyle name="Standard 2 2" xfId="2" xr:uid="{C0F36522-7538-2E48-9DF8-CD277E6B3521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78787"/>
      <rgbColor rgb="FFA4C1FF"/>
      <rgbColor rgb="FFBE4B48"/>
      <rgbColor rgb="FFEBF1DE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0EC"/>
      <rgbColor rgb="FFCCFFCC"/>
      <rgbColor rgb="FFFDEADA"/>
      <rgbColor rgb="FF99CCFF"/>
      <rgbColor rgb="FFFFA7A4"/>
      <rgbColor rgb="FFCC99FF"/>
      <rgbColor rgb="FFFFCC99"/>
      <rgbColor rgb="FF3E7FCC"/>
      <rgbColor rgb="FF46AAC4"/>
      <rgbColor rgb="FF98B855"/>
      <rgbColor rgb="FFFFCC00"/>
      <rgbColor rgb="FFFF9900"/>
      <rgbColor rgb="FFFF6600"/>
      <rgbColor rgb="FF7D5FA0"/>
      <rgbColor rgb="FF969696"/>
      <rgbColor rgb="FF003366"/>
      <rgbColor rgb="FF4A7EBB"/>
      <rgbColor rgb="FF003300"/>
      <rgbColor rgb="FF333300"/>
      <rgbColor rgb="FF993300"/>
      <rgbColor rgb="FFD03F3B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v>u(t)</c:v>
          </c:tx>
          <c:spPr>
            <a:ln w="47520">
              <a:solidFill>
                <a:srgbClr val="BE4B48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Leistung!$B$6:$B$66</c:f>
              <c:numCache>
                <c:formatCode>0.00</c:formatCode>
                <c:ptCount val="61"/>
                <c:pt idx="0">
                  <c:v>0</c:v>
                </c:pt>
                <c:pt idx="1">
                  <c:v>0.3090557350643407</c:v>
                </c:pt>
                <c:pt idx="2">
                  <c:v>0.58785116037545415</c:v>
                </c:pt>
                <c:pt idx="3">
                  <c:v>0.80908881799766819</c:v>
                </c:pt>
                <c:pt idx="4">
                  <c:v>0.95110685445548326</c:v>
                </c:pt>
                <c:pt idx="5">
                  <c:v>0.99999997925861284</c:v>
                </c:pt>
                <c:pt idx="6">
                  <c:v>0.95098096171212143</c:v>
                </c:pt>
                <c:pt idx="7">
                  <c:v>0.80884935893940912</c:v>
                </c:pt>
                <c:pt idx="8">
                  <c:v>0.5875215809521831</c:v>
                </c:pt>
                <c:pt idx="9">
                  <c:v>0.30866830510413396</c:v>
                </c:pt>
                <c:pt idx="10">
                  <c:v>-4.0734639894142617E-4</c:v>
                </c:pt>
                <c:pt idx="11">
                  <c:v>-0.30944311374259081</c:v>
                </c:pt>
                <c:pt idx="12">
                  <c:v>-0.5881806422559378</c:v>
                </c:pt>
                <c:pt idx="13">
                  <c:v>-0.80932814280293353</c:v>
                </c:pt>
                <c:pt idx="14">
                  <c:v>-0.95123258938064259</c:v>
                </c:pt>
                <c:pt idx="15">
                  <c:v>-0.99999981332752064</c:v>
                </c:pt>
                <c:pt idx="16">
                  <c:v>-0.95085491117144672</c:v>
                </c:pt>
                <c:pt idx="17">
                  <c:v>-0.80860976566788989</c:v>
                </c:pt>
                <c:pt idx="18">
                  <c:v>-0.58719190404081245</c:v>
                </c:pt>
                <c:pt idx="19">
                  <c:v>-0.30828082392625755</c:v>
                </c:pt>
                <c:pt idx="20">
                  <c:v>8.1469273029141805E-4</c:v>
                </c:pt>
                <c:pt idx="21">
                  <c:v>0.30983044107460556</c:v>
                </c:pt>
                <c:pt idx="22">
                  <c:v>0.58851002653896378</c:v>
                </c:pt>
                <c:pt idx="23">
                  <c:v>0.80956733331549302</c:v>
                </c:pt>
                <c:pt idx="24">
                  <c:v>0.95135816646673621</c:v>
                </c:pt>
                <c:pt idx="25">
                  <c:v>0.99999948146536388</c:v>
                </c:pt>
                <c:pt idx="26">
                  <c:v>0.95072870285437472</c:v>
                </c:pt>
                <c:pt idx="27">
                  <c:v>0.80837003822286579</c:v>
                </c:pt>
                <c:pt idx="28">
                  <c:v>0.58686212969604612</c:v>
                </c:pt>
                <c:pt idx="29">
                  <c:v>0.30789329159500628</c:v>
                </c:pt>
                <c:pt idx="30">
                  <c:v>-1.2220389264589967E-3</c:v>
                </c:pt>
                <c:pt idx="31">
                  <c:v>-0.31021771699611661</c:v>
                </c:pt>
                <c:pt idx="32">
                  <c:v>-0.58883931316987548</c:v>
                </c:pt>
                <c:pt idx="33">
                  <c:v>-0.80980638949565786</c:v>
                </c:pt>
                <c:pt idx="34">
                  <c:v>-0.9514835856929269</c:v>
                </c:pt>
                <c:pt idx="35">
                  <c:v>-0.99999898367219742</c:v>
                </c:pt>
                <c:pt idx="36">
                  <c:v>-0.95060233678184758</c:v>
                </c:pt>
                <c:pt idx="37">
                  <c:v>-0.80813017664411613</c:v>
                </c:pt>
                <c:pt idx="38">
                  <c:v>-0.58653225797260367</c:v>
                </c:pt>
                <c:pt idx="39">
                  <c:v>-0.30750570817468209</c:v>
                </c:pt>
                <c:pt idx="40">
                  <c:v>1.6293849198514292E-3</c:v>
                </c:pt>
                <c:pt idx="41">
                  <c:v>0.31060494144286116</c:v>
                </c:pt>
                <c:pt idx="42">
                  <c:v>0.58916850209403482</c:v>
                </c:pt>
                <c:pt idx="43">
                  <c:v>0.81004531130376134</c:v>
                </c:pt>
                <c:pt idx="44">
                  <c:v>0.9516088470384042</c:v>
                </c:pt>
                <c:pt idx="45">
                  <c:v>0.99999831994810406</c:v>
                </c:pt>
                <c:pt idx="46">
                  <c:v>0.9504758129748333</c:v>
                </c:pt>
                <c:pt idx="47">
                  <c:v>0.80789018097144083</c:v>
                </c:pt>
                <c:pt idx="48">
                  <c:v>0.58620228892522108</c:v>
                </c:pt>
                <c:pt idx="49">
                  <c:v>0.30711807372960054</c:v>
                </c:pt>
                <c:pt idx="50">
                  <c:v>-2.0367306428782368E-3</c:v>
                </c:pt>
                <c:pt idx="51">
                  <c:v>-0.31099211435058915</c:v>
                </c:pt>
                <c:pt idx="52">
                  <c:v>-0.58949759325682061</c:v>
                </c:pt>
                <c:pt idx="53">
                  <c:v>-0.81028409870015972</c:v>
                </c:pt>
                <c:pt idx="54">
                  <c:v>-0.95173395048238252</c:v>
                </c:pt>
                <c:pt idx="55">
                  <c:v>-0.99999749029319396</c:v>
                </c:pt>
                <c:pt idx="56">
                  <c:v>-0.95034913145432598</c:v>
                </c:pt>
                <c:pt idx="57">
                  <c:v>-0.8076500512446626</c:v>
                </c:pt>
                <c:pt idx="58">
                  <c:v>-0.58587222260865046</c:v>
                </c:pt>
                <c:pt idx="59">
                  <c:v>-0.30673038832408223</c:v>
                </c:pt>
                <c:pt idx="60">
                  <c:v>2.4440760279498736E-3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70-9E45-A861-97E4D1A61DAB}"/>
            </c:ext>
          </c:extLst>
        </c:ser>
        <c:ser>
          <c:idx val="1"/>
          <c:order val="1"/>
          <c:tx>
            <c:v>i(t)</c:v>
          </c:tx>
          <c:spPr>
            <a:ln w="47520">
              <a:solidFill>
                <a:srgbClr val="98B855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Leistung!$C$6:$C$66</c:f>
              <c:numCache>
                <c:formatCode>0.00</c:formatCode>
                <c:ptCount val="61"/>
                <c:pt idx="0">
                  <c:v>0.70717878687206648</c:v>
                </c:pt>
                <c:pt idx="1">
                  <c:v>0.89107124112271785</c:v>
                </c:pt>
                <c:pt idx="2">
                  <c:v>0.98771699935929091</c:v>
                </c:pt>
                <c:pt idx="3">
                  <c:v>0.98765326814756749</c:v>
                </c:pt>
                <c:pt idx="4">
                  <c:v>0.89088628754715138</c:v>
                </c:pt>
                <c:pt idx="5">
                  <c:v>0.70689072013385135</c:v>
                </c:pt>
                <c:pt idx="6">
                  <c:v>0.45368196646960246</c:v>
                </c:pt>
                <c:pt idx="7">
                  <c:v>0.15605223860157288</c:v>
                </c:pt>
                <c:pt idx="8">
                  <c:v>-0.15685689858330709</c:v>
                </c:pt>
                <c:pt idx="9">
                  <c:v>-0.45440784046702792</c:v>
                </c:pt>
                <c:pt idx="10">
                  <c:v>-0.70746673626733048</c:v>
                </c:pt>
                <c:pt idx="11">
                  <c:v>-0.89125604684185711</c:v>
                </c:pt>
                <c:pt idx="12">
                  <c:v>-0.98778056667805036</c:v>
                </c:pt>
                <c:pt idx="13">
                  <c:v>-0.98758937305345518</c:v>
                </c:pt>
                <c:pt idx="14">
                  <c:v>-0.89070118614584737</c:v>
                </c:pt>
                <c:pt idx="15">
                  <c:v>-0.70660253610048473</c:v>
                </c:pt>
                <c:pt idx="16">
                  <c:v>-0.45331891652085649</c:v>
                </c:pt>
                <c:pt idx="17">
                  <c:v>-0.15564986973644701</c:v>
                </c:pt>
                <c:pt idx="18">
                  <c:v>0.15725918956639728</c:v>
                </c:pt>
                <c:pt idx="19">
                  <c:v>0.45477066439526237</c:v>
                </c:pt>
                <c:pt idx="20">
                  <c:v>0.70775456827186389</c:v>
                </c:pt>
                <c:pt idx="21">
                  <c:v>0.89144070467390379</c:v>
                </c:pt>
                <c:pt idx="22">
                  <c:v>0.98784397009329838</c:v>
                </c:pt>
                <c:pt idx="23">
                  <c:v>0.98752531408755606</c:v>
                </c:pt>
                <c:pt idx="24">
                  <c:v>0.89051593694951925</c:v>
                </c:pt>
                <c:pt idx="25">
                  <c:v>0.70631423481978539</c:v>
                </c:pt>
                <c:pt idx="26">
                  <c:v>0.45295579135240488</c:v>
                </c:pt>
                <c:pt idx="27">
                  <c:v>0.15524747504416594</c:v>
                </c:pt>
                <c:pt idx="28">
                  <c:v>-0.15766145445529833</c:v>
                </c:pt>
                <c:pt idx="29">
                  <c:v>-0.45513341286290299</c:v>
                </c:pt>
                <c:pt idx="30">
                  <c:v>-0.70804228283790738</c:v>
                </c:pt>
                <c:pt idx="31">
                  <c:v>-0.89162521458821842</c:v>
                </c:pt>
                <c:pt idx="32">
                  <c:v>-0.98790720959451406</c:v>
                </c:pt>
                <c:pt idx="33">
                  <c:v>-0.98746109126049986</c:v>
                </c:pt>
                <c:pt idx="34">
                  <c:v>-0.89033053998890643</c:v>
                </c:pt>
                <c:pt idx="35">
                  <c:v>-0.70602581633958994</c:v>
                </c:pt>
                <c:pt idx="36">
                  <c:v>-0.45259259102450411</c:v>
                </c:pt>
                <c:pt idx="37">
                  <c:v>-0.15484505459150302</c:v>
                </c:pt>
                <c:pt idx="38">
                  <c:v>0.15806369318326063</c:v>
                </c:pt>
                <c:pt idx="39">
                  <c:v>0.45549608580975859</c:v>
                </c:pt>
                <c:pt idx="40">
                  <c:v>0.70832987991771779</c:v>
                </c:pt>
                <c:pt idx="41">
                  <c:v>0.89180957655418358</c:v>
                </c:pt>
                <c:pt idx="42">
                  <c:v>0.987970285171204</c:v>
                </c:pt>
                <c:pt idx="43">
                  <c:v>0.98739670458294282</c:v>
                </c:pt>
                <c:pt idx="44">
                  <c:v>0.89014499529477087</c:v>
                </c:pt>
                <c:pt idx="45">
                  <c:v>0.70573728070775854</c:v>
                </c:pt>
                <c:pt idx="46">
                  <c:v>0.4522293155974188</c:v>
                </c:pt>
                <c:pt idx="47">
                  <c:v>0.15444260844523056</c:v>
                </c:pt>
                <c:pt idx="48">
                  <c:v>-0.15846590568354113</c:v>
                </c:pt>
                <c:pt idx="49">
                  <c:v>-0.45585868317564804</c:v>
                </c:pt>
                <c:pt idx="50">
                  <c:v>-0.70861735946357529</c:v>
                </c:pt>
                <c:pt idx="51">
                  <c:v>-0.89199379054120853</c:v>
                </c:pt>
                <c:pt idx="52">
                  <c:v>-0.98803319681290214</c:v>
                </c:pt>
                <c:pt idx="53">
                  <c:v>-0.98733215406556885</c:v>
                </c:pt>
                <c:pt idx="54">
                  <c:v>-0.88995930289790259</c:v>
                </c:pt>
                <c:pt idx="55">
                  <c:v>-0.70544862797216812</c:v>
                </c:pt>
                <c:pt idx="56">
                  <c:v>-0.45186596513142935</c:v>
                </c:pt>
                <c:pt idx="57">
                  <c:v>-0.1540401366721286</c:v>
                </c:pt>
                <c:pt idx="58">
                  <c:v>0.15886809188939852</c:v>
                </c:pt>
                <c:pt idx="59">
                  <c:v>0.45622120490040358</c:v>
                </c:pt>
                <c:pt idx="60">
                  <c:v>0.70890472142777783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0-9E45-A861-97E4D1A61DAB}"/>
            </c:ext>
          </c:extLst>
        </c:ser>
        <c:ser>
          <c:idx val="2"/>
          <c:order val="2"/>
          <c:tx>
            <c:v>p(t)</c:v>
          </c:tx>
          <c:spPr>
            <a:ln w="47520">
              <a:solidFill>
                <a:srgbClr val="7D5FA0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Leistung!$D$6:$D$66</c:f>
              <c:numCache>
                <c:formatCode>0.00</c:formatCode>
                <c:ptCount val="61"/>
                <c:pt idx="0">
                  <c:v>0</c:v>
                </c:pt>
                <c:pt idx="1">
                  <c:v>0.27539067741987594</c:v>
                </c:pt>
                <c:pt idx="2">
                  <c:v>0.58063058419592084</c:v>
                </c:pt>
                <c:pt idx="3">
                  <c:v>0.79909921531704942</c:v>
                </c:pt>
                <c:pt idx="4">
                  <c:v>0.8473280546264943</c:v>
                </c:pt>
                <c:pt idx="5">
                  <c:v>0.7068907054719572</c:v>
                </c:pt>
                <c:pt idx="6">
                  <c:v>0.43144291278470898</c:v>
                </c:pt>
                <c:pt idx="7">
                  <c:v>0.12622275315394194</c:v>
                </c:pt>
                <c:pt idx="8">
                  <c:v>-9.2156813038920829E-2</c:v>
                </c:pt>
                <c:pt idx="9">
                  <c:v>-0.1402612979429872</c:v>
                </c:pt>
                <c:pt idx="10">
                  <c:v>2.8818402738934072E-4</c:v>
                </c:pt>
                <c:pt idx="11">
                  <c:v>0.27579304627665663</c:v>
                </c:pt>
                <c:pt idx="12">
                  <c:v>0.58099340811662981</c:v>
                </c:pt>
                <c:pt idx="13">
                  <c:v>0.79928387314526639</c:v>
                </c:pt>
                <c:pt idx="14">
                  <c:v>0.84726399566192412</c:v>
                </c:pt>
                <c:pt idx="15">
                  <c:v>0.70660240419723741</c:v>
                </c:pt>
                <c:pt idx="16">
                  <c:v>0.43104051810077548</c:v>
                </c:pt>
                <c:pt idx="17">
                  <c:v>0.12586000469382599</c:v>
                </c:pt>
                <c:pt idx="18">
                  <c:v>-9.2341322949407889E-2</c:v>
                </c:pt>
                <c:pt idx="19">
                  <c:v>-0.14019707511726304</c:v>
                </c:pt>
                <c:pt idx="20">
                  <c:v>5.7660250160162867E-4</c:v>
                </c:pt>
                <c:pt idx="21">
                  <c:v>0.27619546672097278</c:v>
                </c:pt>
                <c:pt idx="22">
                  <c:v>0.58135608105596237</c:v>
                </c:pt>
                <c:pt idx="23">
                  <c:v>0.79946823510740739</c:v>
                </c:pt>
                <c:pt idx="24">
                  <c:v>0.84719960898570235</c:v>
                </c:pt>
                <c:pt idx="25">
                  <c:v>0.70631386857139067</c:v>
                </c:pt>
                <c:pt idx="26">
                  <c:v>0.4306380719628487</c:v>
                </c:pt>
                <c:pt idx="27">
                  <c:v>0.12549740733545584</c:v>
                </c:pt>
                <c:pt idx="28">
                  <c:v>-9.2525536932612562E-2</c:v>
                </c:pt>
                <c:pt idx="29">
                  <c:v>-0.14013252460122816</c:v>
                </c:pt>
                <c:pt idx="30">
                  <c:v>8.6525523120681367E-4</c:v>
                </c:pt>
                <c:pt idx="31">
                  <c:v>0.27659793848572967</c:v>
                </c:pt>
                <c:pt idx="32">
                  <c:v>0.58171860277320186</c:v>
                </c:pt>
                <c:pt idx="33">
                  <c:v>0.79965230108110774</c:v>
                </c:pt>
                <c:pt idx="34">
                  <c:v>0.84713489464056457</c:v>
                </c:pt>
                <c:pt idx="35">
                  <c:v>0.70602509878592346</c:v>
                </c:pt>
                <c:pt idx="36">
                  <c:v>0.43023557463804468</c:v>
                </c:pt>
                <c:pt idx="37">
                  <c:v>0.12513496131949914</c:v>
                </c:pt>
                <c:pt idx="38">
                  <c:v>-9.2709454866266708E-2</c:v>
                </c:pt>
                <c:pt idx="39">
                  <c:v>-0.14006764643772557</c:v>
                </c:pt>
                <c:pt idx="40">
                  <c:v>1.1541420246181031E-3</c:v>
                </c:pt>
                <c:pt idx="41">
                  <c:v>0.27700046130379502</c:v>
                </c:pt>
                <c:pt idx="42">
                  <c:v>0.58208097302773465</c:v>
                </c:pt>
                <c:pt idx="43">
                  <c:v>0.79983607094419795</c:v>
                </c:pt>
                <c:pt idx="44">
                  <c:v>0.84706985266946266</c:v>
                </c:pt>
                <c:pt idx="45">
                  <c:v>0.70573609503250201</c:v>
                </c:pt>
                <c:pt idx="46">
                  <c:v>0.42983302639350912</c:v>
                </c:pt>
                <c:pt idx="47">
                  <c:v>0.1247726668865187</c:v>
                </c:pt>
                <c:pt idx="48">
                  <c:v>-9.2893076628300014E-2</c:v>
                </c:pt>
                <c:pt idx="49">
                  <c:v>-0.14000244066981729</c:v>
                </c:pt>
                <c:pt idx="50">
                  <c:v>1.4432626900949264E-3</c:v>
                </c:pt>
                <c:pt idx="51">
                  <c:v>0.277403034908007</c:v>
                </c:pt>
                <c:pt idx="52">
                  <c:v>0.58244319157904834</c:v>
                </c:pt>
                <c:pt idx="53">
                  <c:v>0.8000195445747067</c:v>
                </c:pt>
                <c:pt idx="54">
                  <c:v>0.84700448311556809</c:v>
                </c:pt>
                <c:pt idx="55">
                  <c:v>0.70544685750294522</c:v>
                </c:pt>
                <c:pt idx="56">
                  <c:v>0.42943042749642463</c:v>
                </c:pt>
                <c:pt idx="57">
                  <c:v>0.12441052427697949</c:v>
                </c:pt>
                <c:pt idx="58">
                  <c:v>-9.3076402096837221E-2</c:v>
                </c:pt>
                <c:pt idx="59">
                  <c:v>-0.13993690734078149</c:v>
                </c:pt>
                <c:pt idx="60">
                  <c:v>1.7326170357421149E-3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70-9E45-A861-97E4D1A61DAB}"/>
            </c:ext>
          </c:extLst>
        </c:ser>
        <c:ser>
          <c:idx val="3"/>
          <c:order val="3"/>
          <c:tx>
            <c:v>pav</c:v>
          </c:tx>
          <c:spPr>
            <a:ln w="47520">
              <a:solidFill>
                <a:srgbClr val="4A7EBB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Leistung!$E$6:$E$66</c:f>
              <c:numCache>
                <c:formatCode>0.00</c:formatCode>
                <c:ptCount val="61"/>
                <c:pt idx="0">
                  <c:v>0.35348761732043299</c:v>
                </c:pt>
                <c:pt idx="1">
                  <c:v>0.35348761732043299</c:v>
                </c:pt>
                <c:pt idx="2">
                  <c:v>0.35348761732043299</c:v>
                </c:pt>
                <c:pt idx="3">
                  <c:v>0.35348761732043299</c:v>
                </c:pt>
                <c:pt idx="4">
                  <c:v>0.35348761732043299</c:v>
                </c:pt>
                <c:pt idx="5">
                  <c:v>0.35348761732043299</c:v>
                </c:pt>
                <c:pt idx="6">
                  <c:v>0.35348761732043299</c:v>
                </c:pt>
                <c:pt idx="7">
                  <c:v>0.35348761732043299</c:v>
                </c:pt>
                <c:pt idx="8">
                  <c:v>0.35348761732043299</c:v>
                </c:pt>
                <c:pt idx="9">
                  <c:v>0.35348761732043299</c:v>
                </c:pt>
                <c:pt idx="10">
                  <c:v>0.35348761732043299</c:v>
                </c:pt>
                <c:pt idx="11">
                  <c:v>0.35348761732043299</c:v>
                </c:pt>
                <c:pt idx="12">
                  <c:v>0.35348761732043299</c:v>
                </c:pt>
                <c:pt idx="13">
                  <c:v>0.35348761732043299</c:v>
                </c:pt>
                <c:pt idx="14">
                  <c:v>0.35348761732043299</c:v>
                </c:pt>
                <c:pt idx="15">
                  <c:v>0.35348761732043299</c:v>
                </c:pt>
                <c:pt idx="16">
                  <c:v>0.35348761732043299</c:v>
                </c:pt>
                <c:pt idx="17">
                  <c:v>0.35348761732043299</c:v>
                </c:pt>
                <c:pt idx="18">
                  <c:v>0.35348761732043299</c:v>
                </c:pt>
                <c:pt idx="19">
                  <c:v>0.35348761732043299</c:v>
                </c:pt>
                <c:pt idx="20">
                  <c:v>0.35348761732043299</c:v>
                </c:pt>
                <c:pt idx="21">
                  <c:v>0.35348761732043299</c:v>
                </c:pt>
                <c:pt idx="22">
                  <c:v>0.35348761732043299</c:v>
                </c:pt>
                <c:pt idx="23">
                  <c:v>0.35348761732043299</c:v>
                </c:pt>
                <c:pt idx="24">
                  <c:v>0.35348761732043299</c:v>
                </c:pt>
                <c:pt idx="25">
                  <c:v>0.35348761732043299</c:v>
                </c:pt>
                <c:pt idx="26">
                  <c:v>0.35348761732043299</c:v>
                </c:pt>
                <c:pt idx="27">
                  <c:v>0.35348761732043299</c:v>
                </c:pt>
                <c:pt idx="28">
                  <c:v>0.35348761732043299</c:v>
                </c:pt>
                <c:pt idx="29">
                  <c:v>0.35348761732043299</c:v>
                </c:pt>
                <c:pt idx="30">
                  <c:v>0.35348761732043299</c:v>
                </c:pt>
                <c:pt idx="31">
                  <c:v>0.35348761732043299</c:v>
                </c:pt>
                <c:pt idx="32">
                  <c:v>0.35348761732043299</c:v>
                </c:pt>
                <c:pt idx="33">
                  <c:v>0.35348761732043299</c:v>
                </c:pt>
                <c:pt idx="34">
                  <c:v>0.35348761732043299</c:v>
                </c:pt>
                <c:pt idx="35">
                  <c:v>0.35348761732043299</c:v>
                </c:pt>
                <c:pt idx="36">
                  <c:v>0.35348761732043299</c:v>
                </c:pt>
                <c:pt idx="37">
                  <c:v>0.35348761732043299</c:v>
                </c:pt>
                <c:pt idx="38">
                  <c:v>0.35348761732043299</c:v>
                </c:pt>
                <c:pt idx="39">
                  <c:v>0.35348761732043299</c:v>
                </c:pt>
                <c:pt idx="40">
                  <c:v>0.35348761732043299</c:v>
                </c:pt>
                <c:pt idx="41">
                  <c:v>0.35348761732043299</c:v>
                </c:pt>
                <c:pt idx="42">
                  <c:v>0.35348761732043299</c:v>
                </c:pt>
                <c:pt idx="43">
                  <c:v>0.35348761732043299</c:v>
                </c:pt>
                <c:pt idx="44">
                  <c:v>0.35348761732043299</c:v>
                </c:pt>
                <c:pt idx="45">
                  <c:v>0.35348761732043299</c:v>
                </c:pt>
                <c:pt idx="46">
                  <c:v>0.35348761732043299</c:v>
                </c:pt>
                <c:pt idx="47">
                  <c:v>0.35348761732043299</c:v>
                </c:pt>
                <c:pt idx="48">
                  <c:v>0.35348761732043299</c:v>
                </c:pt>
                <c:pt idx="49">
                  <c:v>0.35348761732043299</c:v>
                </c:pt>
                <c:pt idx="50">
                  <c:v>0.35348761732043299</c:v>
                </c:pt>
                <c:pt idx="51">
                  <c:v>0.35348761732043299</c:v>
                </c:pt>
                <c:pt idx="52">
                  <c:v>0.35348761732043299</c:v>
                </c:pt>
                <c:pt idx="53">
                  <c:v>0.35348761732043299</c:v>
                </c:pt>
                <c:pt idx="54">
                  <c:v>0.35348761732043299</c:v>
                </c:pt>
                <c:pt idx="55">
                  <c:v>0.35348761732043299</c:v>
                </c:pt>
                <c:pt idx="56">
                  <c:v>0.35348761732043299</c:v>
                </c:pt>
                <c:pt idx="57">
                  <c:v>0.35348761732043299</c:v>
                </c:pt>
                <c:pt idx="58">
                  <c:v>0.35348761732043299</c:v>
                </c:pt>
                <c:pt idx="59">
                  <c:v>0.35348761732043299</c:v>
                </c:pt>
                <c:pt idx="60">
                  <c:v>0.35348761732043299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70-9E45-A861-97E4D1A61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marker val="1"/>
        <c:smooth val="0"/>
        <c:axId val="52155246"/>
        <c:axId val="98968413"/>
      </c:lineChart>
      <c:catAx>
        <c:axId val="5215524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98968413"/>
        <c:crosses val="autoZero"/>
        <c:auto val="1"/>
        <c:lblAlgn val="ctr"/>
        <c:lblOffset val="100"/>
        <c:noMultiLvlLbl val="0"/>
      </c:catAx>
      <c:valAx>
        <c:axId val="98968413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52155246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'Verbraucher|Erzeuger_an_Leitung'!$M$7</c:f>
              <c:strCache>
                <c:ptCount val="1"/>
                <c:pt idx="0">
                  <c:v>UN</c:v>
                </c:pt>
              </c:strCache>
            </c:strRef>
          </c:tx>
          <c:spPr>
            <a:ln w="22320">
              <a:solidFill>
                <a:srgbClr val="7D5FA0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'Verbraucher|Erzeuger_an_Leitung'!$Q$7:$R$7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216.60869565217391</c:v>
                </c:pt>
              </c:numCache>
            </c:numRef>
          </c:xVal>
          <c:yVal>
            <c:numRef>
              <c:f>'Verbraucher|Erzeuger_an_Leitung'!$S$7:$T$7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154.30434782608694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49-1F48-B637-97B458315AB9}"/>
            </c:ext>
          </c:extLst>
        </c:ser>
        <c:ser>
          <c:idx val="1"/>
          <c:order val="1"/>
          <c:tx>
            <c:strRef>
              <c:f>'Verbraucher|Erzeuger_an_Leitung'!$M$4</c:f>
              <c:strCache>
                <c:ptCount val="1"/>
                <c:pt idx="0">
                  <c:v>UR</c:v>
                </c:pt>
              </c:strCache>
            </c:strRef>
          </c:tx>
          <c:spPr>
            <a:ln w="19080">
              <a:solidFill>
                <a:srgbClr val="4A7EBB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'Verbraucher|Erzeuger_an_Leitung'!$Q$4:$R$4</c:f>
              <c:numCache>
                <c:formatCode>0.0</c:formatCode>
                <c:ptCount val="2"/>
                <c:pt idx="0">
                  <c:v>184</c:v>
                </c:pt>
                <c:pt idx="1">
                  <c:v>216.60869565217391</c:v>
                </c:pt>
              </c:numCache>
            </c:numRef>
          </c:xVal>
          <c:yVal>
            <c:numRef>
              <c:f>'Verbraucher|Erzeuger_an_Leitung'!$S$4:$T$4</c:f>
              <c:numCache>
                <c:formatCode>0.0</c:formatCode>
                <c:ptCount val="2"/>
                <c:pt idx="0">
                  <c:v>154.30434782608694</c:v>
                </c:pt>
                <c:pt idx="1">
                  <c:v>154.30434782608694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49-1F48-B637-97B458315AB9}"/>
            </c:ext>
          </c:extLst>
        </c:ser>
        <c:ser>
          <c:idx val="2"/>
          <c:order val="2"/>
          <c:tx>
            <c:strRef>
              <c:f>'Verbraucher|Erzeuger_an_Leitung'!$M$5</c:f>
              <c:strCache>
                <c:ptCount val="1"/>
                <c:pt idx="0">
                  <c:v>UX</c:v>
                </c:pt>
              </c:strCache>
            </c:strRef>
          </c:tx>
          <c:spPr>
            <a:ln w="19080">
              <a:solidFill>
                <a:srgbClr val="BE4B48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'Verbraucher|Erzeuger_an_Leitung'!$Q$5:$R$5</c:f>
              <c:numCache>
                <c:formatCode>0.0</c:formatCode>
                <c:ptCount val="2"/>
                <c:pt idx="0">
                  <c:v>184</c:v>
                </c:pt>
                <c:pt idx="1">
                  <c:v>184</c:v>
                </c:pt>
              </c:numCache>
            </c:numRef>
          </c:xVal>
          <c:yVal>
            <c:numRef>
              <c:f>'Verbraucher|Erzeuger_an_Leitung'!$S$5:$T$5</c:f>
              <c:numCache>
                <c:formatCode>0.0</c:formatCode>
                <c:ptCount val="2"/>
                <c:pt idx="0">
                  <c:v>137.99999999999997</c:v>
                </c:pt>
                <c:pt idx="1">
                  <c:v>154.30434782608694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49-1F48-B637-97B458315AB9}"/>
            </c:ext>
          </c:extLst>
        </c:ser>
        <c:ser>
          <c:idx val="3"/>
          <c:order val="3"/>
          <c:tx>
            <c:strRef>
              <c:f>'Verbraucher|Erzeuger_an_Leitung'!$M$6</c:f>
              <c:strCache>
                <c:ptCount val="1"/>
                <c:pt idx="0">
                  <c:v>UL</c:v>
                </c:pt>
              </c:strCache>
            </c:strRef>
          </c:tx>
          <c:spPr>
            <a:ln w="19080">
              <a:solidFill>
                <a:srgbClr val="98B855"/>
              </a:solidFill>
              <a:round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'Verbraucher|Erzeuger_an_Leitung'!$Q$6:$R$6</c:f>
              <c:numCache>
                <c:formatCode>0.0</c:formatCode>
                <c:ptCount val="2"/>
                <c:pt idx="0">
                  <c:v>0</c:v>
                </c:pt>
                <c:pt idx="1">
                  <c:v>184</c:v>
                </c:pt>
              </c:numCache>
            </c:numRef>
          </c:xVal>
          <c:yVal>
            <c:numRef>
              <c:f>'Verbraucher|Erzeuger_an_Leitung'!$S$6:$T$6</c:f>
              <c:numCache>
                <c:formatCode>0.0</c:formatCode>
                <c:ptCount val="2"/>
                <c:pt idx="0">
                  <c:v>0</c:v>
                </c:pt>
                <c:pt idx="1">
                  <c:v>137.99999999999997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49-1F48-B637-97B458315AB9}"/>
            </c:ext>
          </c:extLst>
        </c:ser>
        <c:ser>
          <c:idx val="4"/>
          <c:order val="4"/>
          <c:tx>
            <c:strRef>
              <c:f>'Verbraucher|Erzeuger_an_Leitung'!$M$3</c:f>
              <c:strCache>
                <c:ptCount val="1"/>
                <c:pt idx="0">
                  <c:v>I</c:v>
                </c:pt>
              </c:strCache>
            </c:strRef>
          </c:tx>
          <c:spPr>
            <a:ln w="25560">
              <a:solidFill>
                <a:srgbClr val="46AA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'Verbraucher|Erzeuger_an_Leitung'!$Q$3:$R$3</c:f>
              <c:numCache>
                <c:formatCode>0.0</c:formatCode>
                <c:ptCount val="2"/>
                <c:pt idx="0" formatCode="General">
                  <c:v>0</c:v>
                </c:pt>
                <c:pt idx="1">
                  <c:v>32.608695652173914</c:v>
                </c:pt>
              </c:numCache>
            </c:numRef>
          </c:xVal>
          <c:yVal>
            <c:numRef>
              <c:f>'Verbraucher|Erzeuger_an_Leitung'!$S$3:$T$3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49-1F48-B637-97B458315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55912"/>
        <c:axId val="79026351"/>
      </c:scatterChart>
      <c:valAx>
        <c:axId val="25255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79026351"/>
        <c:crosses val="autoZero"/>
        <c:crossBetween val="midCat"/>
      </c:valAx>
      <c:valAx>
        <c:axId val="79026351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25255912"/>
        <c:crosses val="autoZero"/>
        <c:crossBetween val="midCat"/>
      </c:valAx>
      <c:spPr>
        <a:noFill/>
        <a:ln w="19080">
          <a:solidFill>
            <a:srgbClr val="FF0000"/>
          </a:solidFill>
          <a:round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400" b="0" strike="noStrike" spc="-1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Reflexionen_an_Leitungen!$D$54</c:f>
              <c:strCache>
                <c:ptCount val="1"/>
                <c:pt idx="0">
                  <c:v>ua(t)</c:v>
                </c:pt>
              </c:strCache>
            </c:strRef>
          </c:tx>
          <c:spPr>
            <a:gradFill>
              <a:gsLst>
                <a:gs pos="0">
                  <a:srgbClr val="3E7FCC"/>
                </a:gs>
                <a:gs pos="100000">
                  <a:srgbClr val="A4C1FF"/>
                </a:gs>
              </a:gsLst>
              <a:lin ang="16200000"/>
            </a:gra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Reflexionen_an_Leitungen!$E$56:$M$56</c:f>
              <c:numCache>
                <c:formatCode>0.00</c:formatCode>
                <c:ptCount val="9"/>
                <c:pt idx="0" formatCode="General">
                  <c:v>0</c:v>
                </c:pt>
                <c:pt idx="1">
                  <c:v>1</c:v>
                </c:pt>
                <c:pt idx="2" formatCode="0">
                  <c:v>2</c:v>
                </c:pt>
                <c:pt idx="3" formatCode="General">
                  <c:v>3</c:v>
                </c:pt>
                <c:pt idx="4" formatCode="General">
                  <c:v>4</c:v>
                </c:pt>
                <c:pt idx="5" formatCode="General">
                  <c:v>5</c:v>
                </c:pt>
                <c:pt idx="6" formatCode="General">
                  <c:v>6</c:v>
                </c:pt>
                <c:pt idx="7" formatCode="General">
                  <c:v>7</c:v>
                </c:pt>
                <c:pt idx="8">
                  <c:v>8</c:v>
                </c:pt>
              </c:numCache>
            </c:numRef>
          </c:cat>
          <c:val>
            <c:numRef>
              <c:f>Reflexionen_an_Leitungen!$E$54:$M$54</c:f>
              <c:numCache>
                <c:formatCode>0.00</c:formatCode>
                <c:ptCount val="9"/>
                <c:pt idx="0">
                  <c:v>0.97959183673469385</c:v>
                </c:pt>
                <c:pt idx="1">
                  <c:v>0.97959183673469385</c:v>
                </c:pt>
                <c:pt idx="2">
                  <c:v>0.95451753859620636</c:v>
                </c:pt>
                <c:pt idx="3">
                  <c:v>0.95451753859620636</c:v>
                </c:pt>
                <c:pt idx="4">
                  <c:v>0.93943479751601611</c:v>
                </c:pt>
                <c:pt idx="5">
                  <c:v>0.93943479751601611</c:v>
                </c:pt>
                <c:pt idx="6">
                  <c:v>0.93036219746812587</c:v>
                </c:pt>
                <c:pt idx="7">
                  <c:v>0.93036219746812587</c:v>
                </c:pt>
                <c:pt idx="8">
                  <c:v>0.92490482926221751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9-4F4A-8449-828F70175682}"/>
            </c:ext>
          </c:extLst>
        </c:ser>
        <c:ser>
          <c:idx val="1"/>
          <c:order val="1"/>
          <c:tx>
            <c:strRef>
              <c:f>Reflexionen_an_Leitungen!$D$55</c:f>
              <c:strCache>
                <c:ptCount val="1"/>
                <c:pt idx="0">
                  <c:v>ub(t)</c:v>
                </c:pt>
              </c:strCache>
            </c:strRef>
          </c:tx>
          <c:spPr>
            <a:gradFill>
              <a:gsLst>
                <a:gs pos="0">
                  <a:srgbClr val="D03F3B"/>
                </a:gs>
                <a:gs pos="100000">
                  <a:srgbClr val="FFA7A4"/>
                </a:gs>
              </a:gsLst>
              <a:lin ang="16200000"/>
            </a:gra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Reflexionen_an_Leitungen!$E$56:$M$56</c:f>
              <c:numCache>
                <c:formatCode>0.00</c:formatCode>
                <c:ptCount val="9"/>
                <c:pt idx="0" formatCode="General">
                  <c:v>0</c:v>
                </c:pt>
                <c:pt idx="1">
                  <c:v>1</c:v>
                </c:pt>
                <c:pt idx="2" formatCode="0">
                  <c:v>2</c:v>
                </c:pt>
                <c:pt idx="3" formatCode="General">
                  <c:v>3</c:v>
                </c:pt>
                <c:pt idx="4" formatCode="General">
                  <c:v>4</c:v>
                </c:pt>
                <c:pt idx="5" formatCode="General">
                  <c:v>5</c:v>
                </c:pt>
                <c:pt idx="6" formatCode="General">
                  <c:v>6</c:v>
                </c:pt>
                <c:pt idx="7" formatCode="General">
                  <c:v>7</c:v>
                </c:pt>
                <c:pt idx="8">
                  <c:v>8</c:v>
                </c:pt>
              </c:numCache>
            </c:numRef>
          </c:cat>
          <c:val>
            <c:numRef>
              <c:f>Reflexionen_an_Leitungen!$E$55:$M$55</c:f>
              <c:numCache>
                <c:formatCode>0.00</c:formatCode>
                <c:ptCount val="9"/>
                <c:pt idx="0">
                  <c:v>0</c:v>
                </c:pt>
                <c:pt idx="1">
                  <c:v>0.36527153234175025</c:v>
                </c:pt>
                <c:pt idx="2">
                  <c:v>0.36527153234175025</c:v>
                </c:pt>
                <c:pt idx="3">
                  <c:v>0.58499038213154742</c:v>
                </c:pt>
                <c:pt idx="4">
                  <c:v>0.58499038213154742</c:v>
                </c:pt>
                <c:pt idx="5">
                  <c:v>0.71715609634270527</c:v>
                </c:pt>
                <c:pt idx="6">
                  <c:v>0.71715609634270527</c:v>
                </c:pt>
                <c:pt idx="7">
                  <c:v>0.79665667642337057</c:v>
                </c:pt>
                <c:pt idx="8">
                  <c:v>0.79665667642337057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89-4F4A-8449-828F70175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43395"/>
        <c:axId val="20666446"/>
      </c:barChart>
      <c:catAx>
        <c:axId val="79843395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20666446"/>
        <c:crosses val="autoZero"/>
        <c:auto val="1"/>
        <c:lblAlgn val="ctr"/>
        <c:lblOffset val="100"/>
        <c:noMultiLvlLbl val="0"/>
      </c:catAx>
      <c:valAx>
        <c:axId val="2066644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.0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79843395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'Impedanz längs der Leitung'!$G$10</c:f>
              <c:strCache>
                <c:ptCount val="1"/>
                <c:pt idx="0">
                  <c:v>|Zi|/RL</c:v>
                </c:pt>
              </c:strCache>
            </c:strRef>
          </c:tx>
          <c:spPr>
            <a:ln w="47520">
              <a:solidFill>
                <a:srgbClr val="4A7EBB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'Impedanz längs der Leitung'!$B$10:$B$71</c:f>
              <c:strCache>
                <c:ptCount val="62"/>
                <c:pt idx="0">
                  <c:v>Länge [km]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  <c:pt idx="22">
                  <c:v>105</c:v>
                </c:pt>
                <c:pt idx="23">
                  <c:v>110</c:v>
                </c:pt>
                <c:pt idx="24">
                  <c:v>115</c:v>
                </c:pt>
                <c:pt idx="25">
                  <c:v>120</c:v>
                </c:pt>
                <c:pt idx="26">
                  <c:v>125</c:v>
                </c:pt>
                <c:pt idx="27">
                  <c:v>130</c:v>
                </c:pt>
                <c:pt idx="28">
                  <c:v>135</c:v>
                </c:pt>
                <c:pt idx="29">
                  <c:v>140</c:v>
                </c:pt>
                <c:pt idx="30">
                  <c:v>145</c:v>
                </c:pt>
                <c:pt idx="31">
                  <c:v>150</c:v>
                </c:pt>
                <c:pt idx="32">
                  <c:v>155</c:v>
                </c:pt>
                <c:pt idx="33">
                  <c:v>160</c:v>
                </c:pt>
                <c:pt idx="34">
                  <c:v>165</c:v>
                </c:pt>
                <c:pt idx="35">
                  <c:v>170</c:v>
                </c:pt>
                <c:pt idx="36">
                  <c:v>175</c:v>
                </c:pt>
                <c:pt idx="37">
                  <c:v>180</c:v>
                </c:pt>
                <c:pt idx="38">
                  <c:v>185</c:v>
                </c:pt>
                <c:pt idx="39">
                  <c:v>190</c:v>
                </c:pt>
                <c:pt idx="40">
                  <c:v>195</c:v>
                </c:pt>
                <c:pt idx="41">
                  <c:v>200</c:v>
                </c:pt>
                <c:pt idx="42">
                  <c:v>205</c:v>
                </c:pt>
                <c:pt idx="43">
                  <c:v>210</c:v>
                </c:pt>
                <c:pt idx="44">
                  <c:v>215</c:v>
                </c:pt>
                <c:pt idx="45">
                  <c:v>220</c:v>
                </c:pt>
                <c:pt idx="46">
                  <c:v>225</c:v>
                </c:pt>
                <c:pt idx="47">
                  <c:v>230</c:v>
                </c:pt>
                <c:pt idx="48">
                  <c:v>235</c:v>
                </c:pt>
                <c:pt idx="49">
                  <c:v>240</c:v>
                </c:pt>
                <c:pt idx="50">
                  <c:v>245</c:v>
                </c:pt>
                <c:pt idx="51">
                  <c:v>250</c:v>
                </c:pt>
                <c:pt idx="52">
                  <c:v>255</c:v>
                </c:pt>
                <c:pt idx="53">
                  <c:v>260</c:v>
                </c:pt>
                <c:pt idx="54">
                  <c:v>265</c:v>
                </c:pt>
                <c:pt idx="55">
                  <c:v>270</c:v>
                </c:pt>
                <c:pt idx="56">
                  <c:v>275</c:v>
                </c:pt>
                <c:pt idx="57">
                  <c:v>280</c:v>
                </c:pt>
                <c:pt idx="58">
                  <c:v>285</c:v>
                </c:pt>
                <c:pt idx="59">
                  <c:v>290</c:v>
                </c:pt>
                <c:pt idx="60">
                  <c:v>295</c:v>
                </c:pt>
                <c:pt idx="61">
                  <c:v>300</c:v>
                </c:pt>
              </c:strCache>
            </c:strRef>
          </c:cat>
          <c:val>
            <c:numRef>
              <c:f>'Impedanz längs der Leitung'!$G$11:$G$71</c:f>
              <c:numCache>
                <c:formatCode>General</c:formatCode>
                <c:ptCount val="61"/>
                <c:pt idx="0">
                  <c:v>1</c:v>
                </c:pt>
                <c:pt idx="1">
                  <c:v>1.0020382821073075</c:v>
                </c:pt>
                <c:pt idx="2">
                  <c:v>1.0043359401078029</c:v>
                </c:pt>
                <c:pt idx="3">
                  <c:v>1.0068914269774305</c:v>
                </c:pt>
                <c:pt idx="4">
                  <c:v>1.0097030641739564</c:v>
                </c:pt>
                <c:pt idx="5">
                  <c:v>1.0127690475726461</c:v>
                </c:pt>
                <c:pt idx="6">
                  <c:v>1.0160874537718942</c:v>
                </c:pt>
                <c:pt idx="7">
                  <c:v>1.0196562467209604</c:v>
                </c:pt>
                <c:pt idx="8">
                  <c:v>1.0234732846209234</c:v>
                </c:pt>
                <c:pt idx="9">
                  <c:v>1.0275363270496929</c:v>
                </c:pt>
                <c:pt idx="10">
                  <c:v>1.0318430422620379</c:v>
                </c:pt>
                <c:pt idx="11">
                  <c:v>1.0363910146164321</c:v>
                </c:pt>
                <c:pt idx="12">
                  <c:v>1.04117775208173</c:v>
                </c:pt>
                <c:pt idx="13">
                  <c:v>1.0462006937783743</c:v>
                </c:pt>
                <c:pt idx="14">
                  <c:v>1.05145721751097</c:v>
                </c:pt>
                <c:pt idx="15">
                  <c:v>1.0569446472514799</c:v>
                </c:pt>
                <c:pt idx="16">
                  <c:v>1.0626602605350119</c:v>
                </c:pt>
                <c:pt idx="17">
                  <c:v>1.0686012957331332</c:v>
                </c:pt>
                <c:pt idx="18">
                  <c:v>1.0747649591726964</c:v>
                </c:pt>
                <c:pt idx="19">
                  <c:v>1.0811484320714606</c:v>
                </c:pt>
                <c:pt idx="20">
                  <c:v>1.0877488772649966</c:v>
                </c:pt>
                <c:pt idx="21">
                  <c:v>1.0945634457026783</c:v>
                </c:pt>
                <c:pt idx="22">
                  <c:v>1.1015892826938032</c:v>
                </c:pt>
                <c:pt idx="23">
                  <c:v>1.1088235338880554</c:v>
                </c:pt>
                <c:pt idx="24">
                  <c:v>1.1162633509776161</c:v>
                </c:pt>
                <c:pt idx="25">
                  <c:v>1.1239058971110985</c:v>
                </c:pt>
                <c:pt idx="26">
                  <c:v>1.1317483520123175</c:v>
                </c:pt>
                <c:pt idx="27">
                  <c:v>1.1397879167994502</c:v>
                </c:pt>
                <c:pt idx="28">
                  <c:v>1.1480218185025688</c:v>
                </c:pt>
                <c:pt idx="29">
                  <c:v>1.1564473142797038</c:v>
                </c:pt>
                <c:pt idx="30">
                  <c:v>1.1650616953336113</c:v>
                </c:pt>
                <c:pt idx="31">
                  <c:v>1.1738622905331715</c:v>
                </c:pt>
                <c:pt idx="32">
                  <c:v>1.182846469744943</c:v>
                </c:pt>
                <c:pt idx="33">
                  <c:v>1.192011646881785</c:v>
                </c:pt>
                <c:pt idx="34">
                  <c:v>1.2013552826766003</c:v>
                </c:pt>
                <c:pt idx="35">
                  <c:v>1.2108748871902986</c:v>
                </c:pt>
                <c:pt idx="36">
                  <c:v>1.2205680220638464</c:v>
                </c:pt>
                <c:pt idx="37">
                  <c:v>1.2304323025249546</c:v>
                </c:pt>
                <c:pt idx="38">
                  <c:v>1.2404653991604975</c:v>
                </c:pt>
                <c:pt idx="39">
                  <c:v>1.2506650394660082</c:v>
                </c:pt>
                <c:pt idx="40">
                  <c:v>1.2610290091839469</c:v>
                </c:pt>
                <c:pt idx="41">
                  <c:v>1.2715551534425011</c:v>
                </c:pt>
                <c:pt idx="42">
                  <c:v>1.2822413777066948</c:v>
                </c:pt>
                <c:pt idx="43">
                  <c:v>1.2930856485535298</c:v>
                </c:pt>
                <c:pt idx="44">
                  <c:v>1.3040859942827345</c:v>
                </c:pt>
                <c:pt idx="45">
                  <c:v>1.3152405053744625</c:v>
                </c:pt>
                <c:pt idx="46">
                  <c:v>1.3265473348050039</c:v>
                </c:pt>
                <c:pt idx="47">
                  <c:v>1.3380046982312774</c:v>
                </c:pt>
                <c:pt idx="48">
                  <c:v>1.349610874054505</c:v>
                </c:pt>
                <c:pt idx="49">
                  <c:v>1.3613642033730193</c:v>
                </c:pt>
                <c:pt idx="50">
                  <c:v>1.3732630898338303</c:v>
                </c:pt>
                <c:pt idx="51">
                  <c:v>1.3853059993920933</c:v>
                </c:pt>
                <c:pt idx="52">
                  <c:v>1.3974914599871491</c:v>
                </c:pt>
                <c:pt idx="53">
                  <c:v>1.409818061143415</c:v>
                </c:pt>
                <c:pt idx="54">
                  <c:v>1.4222844535039179</c:v>
                </c:pt>
                <c:pt idx="55">
                  <c:v>1.4348893483038014</c:v>
                </c:pt>
                <c:pt idx="56">
                  <c:v>1.4476315167907248</c:v>
                </c:pt>
                <c:pt idx="57">
                  <c:v>1.4605097895986088</c:v>
                </c:pt>
                <c:pt idx="58">
                  <c:v>1.4735230560807486</c:v>
                </c:pt>
                <c:pt idx="59">
                  <c:v>1.486670263607923</c:v>
                </c:pt>
                <c:pt idx="60">
                  <c:v>1.4999504168367381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A6-C948-AD08-9120197C7D82}"/>
            </c:ext>
          </c:extLst>
        </c:ser>
        <c:ser>
          <c:idx val="1"/>
          <c:order val="1"/>
          <c:tx>
            <c:strRef>
              <c:f>'Impedanz längs der Leitung'!$H$10</c:f>
              <c:strCache>
                <c:ptCount val="1"/>
                <c:pt idx="0">
                  <c:v>cosφ</c:v>
                </c:pt>
              </c:strCache>
            </c:strRef>
          </c:tx>
          <c:spPr>
            <a:ln w="47520">
              <a:solidFill>
                <a:srgbClr val="BE4B48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'Impedanz längs der Leitung'!$B$10:$B$71</c:f>
              <c:strCache>
                <c:ptCount val="62"/>
                <c:pt idx="0">
                  <c:v>Länge [km]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  <c:pt idx="22">
                  <c:v>105</c:v>
                </c:pt>
                <c:pt idx="23">
                  <c:v>110</c:v>
                </c:pt>
                <c:pt idx="24">
                  <c:v>115</c:v>
                </c:pt>
                <c:pt idx="25">
                  <c:v>120</c:v>
                </c:pt>
                <c:pt idx="26">
                  <c:v>125</c:v>
                </c:pt>
                <c:pt idx="27">
                  <c:v>130</c:v>
                </c:pt>
                <c:pt idx="28">
                  <c:v>135</c:v>
                </c:pt>
                <c:pt idx="29">
                  <c:v>140</c:v>
                </c:pt>
                <c:pt idx="30">
                  <c:v>145</c:v>
                </c:pt>
                <c:pt idx="31">
                  <c:v>150</c:v>
                </c:pt>
                <c:pt idx="32">
                  <c:v>155</c:v>
                </c:pt>
                <c:pt idx="33">
                  <c:v>160</c:v>
                </c:pt>
                <c:pt idx="34">
                  <c:v>165</c:v>
                </c:pt>
                <c:pt idx="35">
                  <c:v>170</c:v>
                </c:pt>
                <c:pt idx="36">
                  <c:v>175</c:v>
                </c:pt>
                <c:pt idx="37">
                  <c:v>180</c:v>
                </c:pt>
                <c:pt idx="38">
                  <c:v>185</c:v>
                </c:pt>
                <c:pt idx="39">
                  <c:v>190</c:v>
                </c:pt>
                <c:pt idx="40">
                  <c:v>195</c:v>
                </c:pt>
                <c:pt idx="41">
                  <c:v>200</c:v>
                </c:pt>
                <c:pt idx="42">
                  <c:v>205</c:v>
                </c:pt>
                <c:pt idx="43">
                  <c:v>210</c:v>
                </c:pt>
                <c:pt idx="44">
                  <c:v>215</c:v>
                </c:pt>
                <c:pt idx="45">
                  <c:v>220</c:v>
                </c:pt>
                <c:pt idx="46">
                  <c:v>225</c:v>
                </c:pt>
                <c:pt idx="47">
                  <c:v>230</c:v>
                </c:pt>
                <c:pt idx="48">
                  <c:v>235</c:v>
                </c:pt>
                <c:pt idx="49">
                  <c:v>240</c:v>
                </c:pt>
                <c:pt idx="50">
                  <c:v>245</c:v>
                </c:pt>
                <c:pt idx="51">
                  <c:v>250</c:v>
                </c:pt>
                <c:pt idx="52">
                  <c:v>255</c:v>
                </c:pt>
                <c:pt idx="53">
                  <c:v>260</c:v>
                </c:pt>
                <c:pt idx="54">
                  <c:v>265</c:v>
                </c:pt>
                <c:pt idx="55">
                  <c:v>270</c:v>
                </c:pt>
                <c:pt idx="56">
                  <c:v>275</c:v>
                </c:pt>
                <c:pt idx="57">
                  <c:v>280</c:v>
                </c:pt>
                <c:pt idx="58">
                  <c:v>285</c:v>
                </c:pt>
                <c:pt idx="59">
                  <c:v>290</c:v>
                </c:pt>
                <c:pt idx="60">
                  <c:v>295</c:v>
                </c:pt>
                <c:pt idx="61">
                  <c:v>300</c:v>
                </c:pt>
              </c:strCache>
            </c:strRef>
          </c:cat>
          <c:val>
            <c:numRef>
              <c:f>'Impedanz längs der Leitung'!$H$11:$H$71</c:f>
              <c:numCache>
                <c:formatCode>General</c:formatCode>
                <c:ptCount val="61"/>
                <c:pt idx="0">
                  <c:v>1</c:v>
                </c:pt>
                <c:pt idx="1">
                  <c:v>0.99989615507080598</c:v>
                </c:pt>
                <c:pt idx="2">
                  <c:v>0.99958664858157209</c:v>
                </c:pt>
                <c:pt idx="3">
                  <c:v>0.99907484792921331</c:v>
                </c:pt>
                <c:pt idx="4">
                  <c:v>0.9983645356118882</c:v>
                </c:pt>
                <c:pt idx="5">
                  <c:v>0.99745988494097149</c:v>
                </c:pt>
                <c:pt idx="6">
                  <c:v>0.99636543409086598</c:v>
                </c:pt>
                <c:pt idx="7">
                  <c:v>0.99508605876992895</c:v>
                </c:pt>
                <c:pt idx="8">
                  <c:v>0.9936269437999492</c:v>
                </c:pt>
                <c:pt idx="9">
                  <c:v>0.99199355389121435</c:v>
                </c:pt>
                <c:pt idx="10">
                  <c:v>0.9901916038955334</c:v>
                </c:pt>
                <c:pt idx="11">
                  <c:v>0.98822702881096447</c:v>
                </c:pt>
                <c:pt idx="12">
                  <c:v>0.98610595379986732</c:v>
                </c:pt>
                <c:pt idx="13">
                  <c:v>0.98383466446670653</c:v>
                </c:pt>
                <c:pt idx="14">
                  <c:v>0.98141957762428755</c:v>
                </c:pt>
                <c:pt idx="15">
                  <c:v>0.9788672127573167</c:v>
                </c:pt>
                <c:pt idx="16">
                  <c:v>0.97618416437085676</c:v>
                </c:pt>
                <c:pt idx="17">
                  <c:v>0.97337707538891527</c:v>
                </c:pt>
                <c:pt idx="18">
                  <c:v>0.97045261174551367</c:v>
                </c:pt>
                <c:pt idx="19">
                  <c:v>0.96741743828761362</c:v>
                </c:pt>
                <c:pt idx="20">
                  <c:v>0.96427819608659393</c:v>
                </c:pt>
                <c:pt idx="21">
                  <c:v>0.96104148123296729</c:v>
                </c:pt>
                <c:pt idx="22">
                  <c:v>0.95771382516797576</c:v>
                </c:pt>
                <c:pt idx="23">
                  <c:v>0.9543016765858785</c:v>
                </c:pt>
                <c:pt idx="24">
                  <c:v>0.95081138492233064</c:v>
                </c:pt>
                <c:pt idx="25">
                  <c:v>0.94724918542742287</c:v>
                </c:pt>
                <c:pt idx="26">
                  <c:v>0.94362118580674736</c:v>
                </c:pt>
                <c:pt idx="27">
                  <c:v>0.93993335440042536</c:v>
                </c:pt>
                <c:pt idx="28">
                  <c:v>0.93619150985830013</c:v>
                </c:pt>
                <c:pt idx="29">
                  <c:v>0.93240131225950407</c:v>
                </c:pt>
                <c:pt idx="30">
                  <c:v>0.92856825561627909</c:v>
                </c:pt>
                <c:pt idx="31">
                  <c:v>0.92469766169520295</c:v>
                </c:pt>
                <c:pt idx="32">
                  <c:v>0.92079467508375579</c:v>
                </c:pt>
                <c:pt idx="33">
                  <c:v>0.91686425942632666</c:v>
                </c:pt>
                <c:pt idx="34">
                  <c:v>0.91291119475122851</c:v>
                </c:pt>
                <c:pt idx="35">
                  <c:v>0.90894007580890035</c:v>
                </c:pt>
                <c:pt idx="36">
                  <c:v>0.90495531134112461</c:v>
                </c:pt>
                <c:pt idx="37">
                  <c:v>0.90096112420164975</c:v>
                </c:pt>
                <c:pt idx="38">
                  <c:v>0.89696155224991991</c:v>
                </c:pt>
                <c:pt idx="39">
                  <c:v>0.89296044994164359</c:v>
                </c:pt>
                <c:pt idx="40">
                  <c:v>0.88896149054245766</c:v>
                </c:pt>
                <c:pt idx="41">
                  <c:v>0.88496816889394936</c:v>
                </c:pt>
                <c:pt idx="42">
                  <c:v>0.88098380466462634</c:v>
                </c:pt>
                <c:pt idx="43">
                  <c:v>0.87701154602205089</c:v>
                </c:pt>
                <c:pt idx="44">
                  <c:v>0.87305437366611638</c:v>
                </c:pt>
                <c:pt idx="45">
                  <c:v>0.86911510516734092</c:v>
                </c:pt>
                <c:pt idx="46">
                  <c:v>0.86519639955801309</c:v>
                </c:pt>
                <c:pt idx="47">
                  <c:v>0.86130076212794471</c:v>
                </c:pt>
                <c:pt idx="48">
                  <c:v>0.85743054938048802</c:v>
                </c:pt>
                <c:pt idx="49">
                  <c:v>0.85358797410828235</c:v>
                </c:pt>
                <c:pt idx="50">
                  <c:v>0.84977511055188393</c:v>
                </c:pt>
                <c:pt idx="51">
                  <c:v>0.845993899607974</c:v>
                </c:pt>
                <c:pt idx="52">
                  <c:v>0.84224615405724723</c:v>
                </c:pt>
                <c:pt idx="53">
                  <c:v>0.83853356378527799</c:v>
                </c:pt>
                <c:pt idx="54">
                  <c:v>0.83485770097271472</c:v>
                </c:pt>
                <c:pt idx="55">
                  <c:v>0.83122002523397565</c:v>
                </c:pt>
                <c:pt idx="56">
                  <c:v>0.82762188868629627</c:v>
                </c:pt>
                <c:pt idx="57">
                  <c:v>0.82406454093341863</c:v>
                </c:pt>
                <c:pt idx="58">
                  <c:v>0.82054913395049001</c:v>
                </c:pt>
                <c:pt idx="59">
                  <c:v>0.81707672685884791</c:v>
                </c:pt>
                <c:pt idx="60">
                  <c:v>0.81364829058124721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A6-C948-AD08-9120197C7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95909772"/>
        <c:axId val="40514210"/>
      </c:lineChart>
      <c:catAx>
        <c:axId val="959097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40514210"/>
        <c:crosses val="autoZero"/>
        <c:auto val="1"/>
        <c:lblAlgn val="ctr"/>
        <c:lblOffset val="100"/>
        <c:noMultiLvlLbl val="0"/>
      </c:catAx>
      <c:valAx>
        <c:axId val="4051421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95909772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'Impedanz längs der Leitung'!$D$10</c:f>
              <c:strCache>
                <c:ptCount val="1"/>
                <c:pt idx="0">
                  <c:v>Re {Zi}</c:v>
                </c:pt>
              </c:strCache>
            </c:strRef>
          </c:tx>
          <c:spPr>
            <a:ln w="47520">
              <a:solidFill>
                <a:srgbClr val="4A7EBB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'Impedanz längs der Leitung'!$B$10:$B$71</c:f>
              <c:strCache>
                <c:ptCount val="62"/>
                <c:pt idx="0">
                  <c:v>Länge [km]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  <c:pt idx="22">
                  <c:v>105</c:v>
                </c:pt>
                <c:pt idx="23">
                  <c:v>110</c:v>
                </c:pt>
                <c:pt idx="24">
                  <c:v>115</c:v>
                </c:pt>
                <c:pt idx="25">
                  <c:v>120</c:v>
                </c:pt>
                <c:pt idx="26">
                  <c:v>125</c:v>
                </c:pt>
                <c:pt idx="27">
                  <c:v>130</c:v>
                </c:pt>
                <c:pt idx="28">
                  <c:v>135</c:v>
                </c:pt>
                <c:pt idx="29">
                  <c:v>140</c:v>
                </c:pt>
                <c:pt idx="30">
                  <c:v>145</c:v>
                </c:pt>
                <c:pt idx="31">
                  <c:v>150</c:v>
                </c:pt>
                <c:pt idx="32">
                  <c:v>155</c:v>
                </c:pt>
                <c:pt idx="33">
                  <c:v>160</c:v>
                </c:pt>
                <c:pt idx="34">
                  <c:v>165</c:v>
                </c:pt>
                <c:pt idx="35">
                  <c:v>170</c:v>
                </c:pt>
                <c:pt idx="36">
                  <c:v>175</c:v>
                </c:pt>
                <c:pt idx="37">
                  <c:v>180</c:v>
                </c:pt>
                <c:pt idx="38">
                  <c:v>185</c:v>
                </c:pt>
                <c:pt idx="39">
                  <c:v>190</c:v>
                </c:pt>
                <c:pt idx="40">
                  <c:v>195</c:v>
                </c:pt>
                <c:pt idx="41">
                  <c:v>200</c:v>
                </c:pt>
                <c:pt idx="42">
                  <c:v>205</c:v>
                </c:pt>
                <c:pt idx="43">
                  <c:v>210</c:v>
                </c:pt>
                <c:pt idx="44">
                  <c:v>215</c:v>
                </c:pt>
                <c:pt idx="45">
                  <c:v>220</c:v>
                </c:pt>
                <c:pt idx="46">
                  <c:v>225</c:v>
                </c:pt>
                <c:pt idx="47">
                  <c:v>230</c:v>
                </c:pt>
                <c:pt idx="48">
                  <c:v>235</c:v>
                </c:pt>
                <c:pt idx="49">
                  <c:v>240</c:v>
                </c:pt>
                <c:pt idx="50">
                  <c:v>245</c:v>
                </c:pt>
                <c:pt idx="51">
                  <c:v>250</c:v>
                </c:pt>
                <c:pt idx="52">
                  <c:v>255</c:v>
                </c:pt>
                <c:pt idx="53">
                  <c:v>260</c:v>
                </c:pt>
                <c:pt idx="54">
                  <c:v>265</c:v>
                </c:pt>
                <c:pt idx="55">
                  <c:v>270</c:v>
                </c:pt>
                <c:pt idx="56">
                  <c:v>275</c:v>
                </c:pt>
                <c:pt idx="57">
                  <c:v>280</c:v>
                </c:pt>
                <c:pt idx="58">
                  <c:v>285</c:v>
                </c:pt>
                <c:pt idx="59">
                  <c:v>290</c:v>
                </c:pt>
                <c:pt idx="60">
                  <c:v>295</c:v>
                </c:pt>
                <c:pt idx="61">
                  <c:v>300</c:v>
                </c:pt>
              </c:strCache>
            </c:strRef>
          </c:cat>
          <c:val>
            <c:numRef>
              <c:f>'Impedanz längs der Leitung'!$D$11:$D$71</c:f>
              <c:numCache>
                <c:formatCode>0.0</c:formatCode>
                <c:ptCount val="61"/>
                <c:pt idx="0" formatCode="General">
                  <c:v>80</c:v>
                </c:pt>
                <c:pt idx="1">
                  <c:v>80.154738041028196</c:v>
                </c:pt>
                <c:pt idx="2">
                  <c:v>80.313663713790504</c:v>
                </c:pt>
                <c:pt idx="3">
                  <c:v>80.476791943096401</c:v>
                </c:pt>
                <c:pt idx="4">
                  <c:v>80.644138461594594</c:v>
                </c:pt>
                <c:pt idx="5">
                  <c:v>80.8157198130871</c:v>
                </c:pt>
                <c:pt idx="6">
                  <c:v>80.991553356137302</c:v>
                </c:pt>
                <c:pt idx="7">
                  <c:v>81.171657267975903</c:v>
                </c:pt>
                <c:pt idx="8">
                  <c:v>81.356050548702697</c:v>
                </c:pt>
                <c:pt idx="9">
                  <c:v>81.544753025787998</c:v>
                </c:pt>
                <c:pt idx="10">
                  <c:v>81.737785358871506</c:v>
                </c:pt>
                <c:pt idx="11">
                  <c:v>81.935169044862207</c:v>
                </c:pt>
                <c:pt idx="12">
                  <c:v>82.136926423340498</c:v>
                </c:pt>
                <c:pt idx="13">
                  <c:v>82.343080682262595</c:v>
                </c:pt>
                <c:pt idx="14">
                  <c:v>82.553655863969993</c:v>
                </c:pt>
                <c:pt idx="15">
                  <c:v>82.768676871505704</c:v>
                </c:pt>
                <c:pt idx="16">
                  <c:v>82.988169475239005</c:v>
                </c:pt>
                <c:pt idx="17">
                  <c:v>83.212160319801797</c:v>
                </c:pt>
                <c:pt idx="18">
                  <c:v>83.440676931336299</c:v>
                </c:pt>
                <c:pt idx="19">
                  <c:v>83.6737477250594</c:v>
                </c:pt>
                <c:pt idx="20">
                  <c:v>83.911402013144695</c:v>
                </c:pt>
                <c:pt idx="21">
                  <c:v>84.153670012925005</c:v>
                </c:pt>
                <c:pt idx="22">
                  <c:v>84.400582855418307</c:v>
                </c:pt>
                <c:pt idx="23">
                  <c:v>84.652172594180001</c:v>
                </c:pt>
                <c:pt idx="24">
                  <c:v>84.908472214485499</c:v>
                </c:pt>
                <c:pt idx="25">
                  <c:v>85.169515642845198</c:v>
                </c:pt>
                <c:pt idx="26">
                  <c:v>85.435337756855603</c:v>
                </c:pt>
                <c:pt idx="27">
                  <c:v>85.705974395390399</c:v>
                </c:pt>
                <c:pt idx="28">
                  <c:v>85.981462369135301</c:v>
                </c:pt>
                <c:pt idx="29">
                  <c:v>86.261839471469997</c:v>
                </c:pt>
                <c:pt idx="30">
                  <c:v>86.547144489702106</c:v>
                </c:pt>
                <c:pt idx="31">
                  <c:v>86.837417216655894</c:v>
                </c:pt>
                <c:pt idx="32">
                  <c:v>87.132698462620993</c:v>
                </c:pt>
                <c:pt idx="33">
                  <c:v>87.433030067665896</c:v>
                </c:pt>
                <c:pt idx="34">
                  <c:v>87.738454914319604</c:v>
                </c:pt>
                <c:pt idx="35">
                  <c:v>88.049016940627496</c:v>
                </c:pt>
                <c:pt idx="36">
                  <c:v>88.364761153584695</c:v>
                </c:pt>
                <c:pt idx="37">
                  <c:v>88.685733642952599</c:v>
                </c:pt>
                <c:pt idx="38">
                  <c:v>89.011981595465301</c:v>
                </c:pt>
                <c:pt idx="39">
                  <c:v>89.343553309428003</c:v>
                </c:pt>
                <c:pt idx="40">
                  <c:v>89.680498209715196</c:v>
                </c:pt>
                <c:pt idx="41">
                  <c:v>90.022866863174002</c:v>
                </c:pt>
                <c:pt idx="42">
                  <c:v>90.370710994436493</c:v>
                </c:pt>
                <c:pt idx="43">
                  <c:v>90.724083502148602</c:v>
                </c:pt>
                <c:pt idx="44">
                  <c:v>91.083038475621393</c:v>
                </c:pt>
                <c:pt idx="45">
                  <c:v>91.447631211909794</c:v>
                </c:pt>
                <c:pt idx="46">
                  <c:v>91.8179182333254</c:v>
                </c:pt>
                <c:pt idx="47">
                  <c:v>92.193957305389603</c:v>
                </c:pt>
                <c:pt idx="48">
                  <c:v>92.575807455234795</c:v>
                </c:pt>
                <c:pt idx="49">
                  <c:v>92.963528990456894</c:v>
                </c:pt>
                <c:pt idx="50">
                  <c:v>93.357183518429196</c:v>
                </c:pt>
                <c:pt idx="51">
                  <c:v>93.756833966083093</c:v>
                </c:pt>
                <c:pt idx="52">
                  <c:v>94.162544600161894</c:v>
                </c:pt>
                <c:pt idx="53">
                  <c:v>94.5743810479551</c:v>
                </c:pt>
                <c:pt idx="54">
                  <c:v>94.992410318521195</c:v>
                </c:pt>
                <c:pt idx="55">
                  <c:v>95.416700824403904</c:v>
                </c:pt>
                <c:pt idx="56">
                  <c:v>95.847322403851805</c:v>
                </c:pt>
                <c:pt idx="57">
                  <c:v>96.284346343547298</c:v>
                </c:pt>
                <c:pt idx="58">
                  <c:v>96.727845401850999</c:v>
                </c:pt>
                <c:pt idx="59">
                  <c:v>97.177893832571399</c:v>
                </c:pt>
                <c:pt idx="60">
                  <c:v>97.634567409267305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E7-1944-8625-4C42146440D3}"/>
            </c:ext>
          </c:extLst>
        </c:ser>
        <c:ser>
          <c:idx val="1"/>
          <c:order val="1"/>
          <c:tx>
            <c:strRef>
              <c:f>'Impedanz längs der Leitung'!$E$10</c:f>
              <c:strCache>
                <c:ptCount val="1"/>
                <c:pt idx="0">
                  <c:v>Im{Zi}</c:v>
                </c:pt>
              </c:strCache>
            </c:strRef>
          </c:tx>
          <c:spPr>
            <a:ln w="47520">
              <a:solidFill>
                <a:srgbClr val="BE4B48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de-DE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'Impedanz längs der Leitung'!$B$10:$B$71</c:f>
              <c:strCache>
                <c:ptCount val="62"/>
                <c:pt idx="0">
                  <c:v>Länge [km]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  <c:pt idx="22">
                  <c:v>105</c:v>
                </c:pt>
                <c:pt idx="23">
                  <c:v>110</c:v>
                </c:pt>
                <c:pt idx="24">
                  <c:v>115</c:v>
                </c:pt>
                <c:pt idx="25">
                  <c:v>120</c:v>
                </c:pt>
                <c:pt idx="26">
                  <c:v>125</c:v>
                </c:pt>
                <c:pt idx="27">
                  <c:v>130</c:v>
                </c:pt>
                <c:pt idx="28">
                  <c:v>135</c:v>
                </c:pt>
                <c:pt idx="29">
                  <c:v>140</c:v>
                </c:pt>
                <c:pt idx="30">
                  <c:v>145</c:v>
                </c:pt>
                <c:pt idx="31">
                  <c:v>150</c:v>
                </c:pt>
                <c:pt idx="32">
                  <c:v>155</c:v>
                </c:pt>
                <c:pt idx="33">
                  <c:v>160</c:v>
                </c:pt>
                <c:pt idx="34">
                  <c:v>165</c:v>
                </c:pt>
                <c:pt idx="35">
                  <c:v>170</c:v>
                </c:pt>
                <c:pt idx="36">
                  <c:v>175</c:v>
                </c:pt>
                <c:pt idx="37">
                  <c:v>180</c:v>
                </c:pt>
                <c:pt idx="38">
                  <c:v>185</c:v>
                </c:pt>
                <c:pt idx="39">
                  <c:v>190</c:v>
                </c:pt>
                <c:pt idx="40">
                  <c:v>195</c:v>
                </c:pt>
                <c:pt idx="41">
                  <c:v>200</c:v>
                </c:pt>
                <c:pt idx="42">
                  <c:v>205</c:v>
                </c:pt>
                <c:pt idx="43">
                  <c:v>210</c:v>
                </c:pt>
                <c:pt idx="44">
                  <c:v>215</c:v>
                </c:pt>
                <c:pt idx="45">
                  <c:v>220</c:v>
                </c:pt>
                <c:pt idx="46">
                  <c:v>225</c:v>
                </c:pt>
                <c:pt idx="47">
                  <c:v>230</c:v>
                </c:pt>
                <c:pt idx="48">
                  <c:v>235</c:v>
                </c:pt>
                <c:pt idx="49">
                  <c:v>240</c:v>
                </c:pt>
                <c:pt idx="50">
                  <c:v>245</c:v>
                </c:pt>
                <c:pt idx="51">
                  <c:v>250</c:v>
                </c:pt>
                <c:pt idx="52">
                  <c:v>255</c:v>
                </c:pt>
                <c:pt idx="53">
                  <c:v>260</c:v>
                </c:pt>
                <c:pt idx="54">
                  <c:v>265</c:v>
                </c:pt>
                <c:pt idx="55">
                  <c:v>270</c:v>
                </c:pt>
                <c:pt idx="56">
                  <c:v>275</c:v>
                </c:pt>
                <c:pt idx="57">
                  <c:v>280</c:v>
                </c:pt>
                <c:pt idx="58">
                  <c:v>285</c:v>
                </c:pt>
                <c:pt idx="59">
                  <c:v>290</c:v>
                </c:pt>
                <c:pt idx="60">
                  <c:v>295</c:v>
                </c:pt>
                <c:pt idx="61">
                  <c:v>300</c:v>
                </c:pt>
              </c:strCache>
            </c:strRef>
          </c:cat>
          <c:val>
            <c:numRef>
              <c:f>'Impedanz längs der Leitung'!$E$11:$E$71</c:f>
              <c:numCache>
                <c:formatCode>0.0</c:formatCode>
                <c:ptCount val="61"/>
                <c:pt idx="1">
                  <c:v>1.15523588455237</c:v>
                </c:pt>
                <c:pt idx="2">
                  <c:v>2.30993001158207</c:v>
                </c:pt>
                <c:pt idx="3">
                  <c:v>3.4641263198260299</c:v>
                </c:pt>
                <c:pt idx="4">
                  <c:v>4.6178685258168297</c:v>
                </c:pt>
                <c:pt idx="5">
                  <c:v>5.7712001272100402</c:v>
                </c:pt>
                <c:pt idx="6">
                  <c:v>6.9241644059723599</c:v>
                </c:pt>
                <c:pt idx="7">
                  <c:v>8.0768044314283909</c:v>
                </c:pt>
                <c:pt idx="8">
                  <c:v>9.2291630631644104</c:v>
                </c:pt>
                <c:pt idx="9">
                  <c:v>10.381282953787</c:v>
                </c:pt>
                <c:pt idx="10">
                  <c:v>11.533206551534001</c:v>
                </c:pt>
                <c:pt idx="11">
                  <c:v>12.6849761027363</c:v>
                </c:pt>
                <c:pt idx="12">
                  <c:v>13.8366336541271</c:v>
                </c:pt>
                <c:pt idx="13">
                  <c:v>14.9882210549966</c:v>
                </c:pt>
                <c:pt idx="14">
                  <c:v>16.139779959189202</c:v>
                </c:pt>
                <c:pt idx="15">
                  <c:v>17.2913518269402</c:v>
                </c:pt>
                <c:pt idx="16">
                  <c:v>18.442977926549201</c:v>
                </c:pt>
                <c:pt idx="17">
                  <c:v>19.594699335886801</c:v>
                </c:pt>
                <c:pt idx="18">
                  <c:v>20.746556943731299</c:v>
                </c:pt>
                <c:pt idx="19">
                  <c:v>21.898591450931601</c:v>
                </c:pt>
                <c:pt idx="20">
                  <c:v>23.050843371392801</c:v>
                </c:pt>
                <c:pt idx="21">
                  <c:v>24.203353032880699</c:v>
                </c:pt>
                <c:pt idx="22">
                  <c:v>25.356160577640601</c:v>
                </c:pt>
                <c:pt idx="23">
                  <c:v>26.5093059628262</c:v>
                </c:pt>
                <c:pt idx="24">
                  <c:v>27.662828960735599</c:v>
                </c:pt>
                <c:pt idx="25">
                  <c:v>28.816769158845801</c:v>
                </c:pt>
                <c:pt idx="26">
                  <c:v>29.971165959645599</c:v>
                </c:pt>
                <c:pt idx="27">
                  <c:v>31.126058580258402</c:v>
                </c:pt>
                <c:pt idx="28">
                  <c:v>32.2814860518505</c:v>
                </c:pt>
                <c:pt idx="29">
                  <c:v>33.437487218818902</c:v>
                </c:pt>
                <c:pt idx="30">
                  <c:v>34.594100737753699</c:v>
                </c:pt>
                <c:pt idx="31">
                  <c:v>35.751365076168099</c:v>
                </c:pt>
                <c:pt idx="32">
                  <c:v>36.909318510989102</c:v>
                </c:pt>
                <c:pt idx="33">
                  <c:v>38.0679991268035</c:v>
                </c:pt>
                <c:pt idx="34">
                  <c:v>39.2274448138512</c:v>
                </c:pt>
                <c:pt idx="35">
                  <c:v>40.387693265759196</c:v>
                </c:pt>
                <c:pt idx="36">
                  <c:v>41.548781977008296</c:v>
                </c:pt>
                <c:pt idx="37">
                  <c:v>42.710748240123102</c:v>
                </c:pt>
                <c:pt idx="38">
                  <c:v>43.873629142581599</c:v>
                </c:pt>
                <c:pt idx="39">
                  <c:v>45.037461563430398</c:v>
                </c:pt>
                <c:pt idx="40">
                  <c:v>46.202282169599897</c:v>
                </c:pt>
                <c:pt idx="41">
                  <c:v>47.368127411908702</c:v>
                </c:pt>
                <c:pt idx="42">
                  <c:v>48.535033520749501</c:v>
                </c:pt>
                <c:pt idx="43">
                  <c:v>49.703036501443499</c:v>
                </c:pt>
                <c:pt idx="44">
                  <c:v>50.872172129255098</c:v>
                </c:pt>
                <c:pt idx="45">
                  <c:v>52.042475944055901</c:v>
                </c:pt>
                <c:pt idx="46">
                  <c:v>53.213983244624998</c:v>
                </c:pt>
                <c:pt idx="47">
                  <c:v>54.386729082575101</c:v>
                </c:pt>
                <c:pt idx="48">
                  <c:v>55.560748255893301</c:v>
                </c:pt>
                <c:pt idx="49">
                  <c:v>56.736075302080899</c:v>
                </c:pt>
                <c:pt idx="50">
                  <c:v>57.912744490881003</c:v>
                </c:pt>
                <c:pt idx="51">
                  <c:v>59.0907898165812</c:v>
                </c:pt>
                <c:pt idx="52">
                  <c:v>60.270244989873802</c:v>
                </c:pt>
                <c:pt idx="53">
                  <c:v>61.451143429261997</c:v>
                </c:pt>
                <c:pt idx="54">
                  <c:v>62.633518251994403</c:v>
                </c:pt>
                <c:pt idx="55">
                  <c:v>63.817402264513497</c:v>
                </c:pt>
                <c:pt idx="56">
                  <c:v>65.002827952399898</c:v>
                </c:pt>
                <c:pt idx="57">
                  <c:v>66.189827469796398</c:v>
                </c:pt>
                <c:pt idx="58">
                  <c:v>67.378432628293794</c:v>
                </c:pt>
                <c:pt idx="59">
                  <c:v>68.568674885258005</c:v>
                </c:pt>
                <c:pt idx="60">
                  <c:v>69.760585331582107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E7-1944-8625-4C4214644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0">
              <a:noFill/>
            </a:ln>
          </c:spPr>
        </c:hiLowLines>
        <c:smooth val="0"/>
        <c:axId val="61843547"/>
        <c:axId val="20099030"/>
      </c:lineChart>
      <c:catAx>
        <c:axId val="6184354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20099030"/>
        <c:crosses val="autoZero"/>
        <c:auto val="1"/>
        <c:lblAlgn val="ctr"/>
        <c:lblOffset val="100"/>
        <c:noMultiLvlLbl val="0"/>
      </c:catAx>
      <c:valAx>
        <c:axId val="2009903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61843547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Kabelstrecke!$G$10</c:f>
              <c:strCache>
                <c:ptCount val="1"/>
                <c:pt idx="0">
                  <c:v>|Zi|/RL</c:v>
                </c:pt>
              </c:strCache>
            </c:strRef>
          </c:tx>
          <c:spPr>
            <a:ln w="47520" cap="rnd">
              <a:solidFill>
                <a:srgbClr val="4A7EBB"/>
              </a:solidFill>
            </a:ln>
          </c:spPr>
          <c:marker>
            <c:symbol val="none"/>
          </c:marker>
          <c:cat>
            <c:strRef>
              <c:f>Kabelstrecke!$B$10:$B$71</c:f>
              <c:strCache>
                <c:ptCount val="62"/>
                <c:pt idx="0">
                  <c:v>Länge [km]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  <c:pt idx="22">
                  <c:v>105</c:v>
                </c:pt>
                <c:pt idx="23">
                  <c:v>110</c:v>
                </c:pt>
                <c:pt idx="24">
                  <c:v>115</c:v>
                </c:pt>
                <c:pt idx="25">
                  <c:v>120</c:v>
                </c:pt>
                <c:pt idx="26">
                  <c:v>125</c:v>
                </c:pt>
                <c:pt idx="27">
                  <c:v>130</c:v>
                </c:pt>
                <c:pt idx="28">
                  <c:v>135</c:v>
                </c:pt>
                <c:pt idx="29">
                  <c:v>140</c:v>
                </c:pt>
                <c:pt idx="30">
                  <c:v>145</c:v>
                </c:pt>
                <c:pt idx="31">
                  <c:v>150</c:v>
                </c:pt>
                <c:pt idx="32">
                  <c:v>155</c:v>
                </c:pt>
                <c:pt idx="33">
                  <c:v>160</c:v>
                </c:pt>
                <c:pt idx="34">
                  <c:v>165</c:v>
                </c:pt>
                <c:pt idx="35">
                  <c:v>170</c:v>
                </c:pt>
                <c:pt idx="36">
                  <c:v>175</c:v>
                </c:pt>
                <c:pt idx="37">
                  <c:v>180</c:v>
                </c:pt>
                <c:pt idx="38">
                  <c:v>185</c:v>
                </c:pt>
                <c:pt idx="39">
                  <c:v>190</c:v>
                </c:pt>
                <c:pt idx="40">
                  <c:v>195</c:v>
                </c:pt>
                <c:pt idx="41">
                  <c:v>200</c:v>
                </c:pt>
                <c:pt idx="42">
                  <c:v>205</c:v>
                </c:pt>
                <c:pt idx="43">
                  <c:v>210</c:v>
                </c:pt>
                <c:pt idx="44">
                  <c:v>215</c:v>
                </c:pt>
                <c:pt idx="45">
                  <c:v>220</c:v>
                </c:pt>
                <c:pt idx="46">
                  <c:v>225</c:v>
                </c:pt>
                <c:pt idx="47">
                  <c:v>230</c:v>
                </c:pt>
                <c:pt idx="48">
                  <c:v>235</c:v>
                </c:pt>
                <c:pt idx="49">
                  <c:v>240</c:v>
                </c:pt>
                <c:pt idx="50">
                  <c:v>245</c:v>
                </c:pt>
                <c:pt idx="51">
                  <c:v>250</c:v>
                </c:pt>
                <c:pt idx="52">
                  <c:v>255</c:v>
                </c:pt>
                <c:pt idx="53">
                  <c:v>260</c:v>
                </c:pt>
                <c:pt idx="54">
                  <c:v>265</c:v>
                </c:pt>
                <c:pt idx="55">
                  <c:v>270</c:v>
                </c:pt>
                <c:pt idx="56">
                  <c:v>275</c:v>
                </c:pt>
                <c:pt idx="57">
                  <c:v>280</c:v>
                </c:pt>
                <c:pt idx="58">
                  <c:v>285</c:v>
                </c:pt>
                <c:pt idx="59">
                  <c:v>290</c:v>
                </c:pt>
                <c:pt idx="60">
                  <c:v>295</c:v>
                </c:pt>
                <c:pt idx="61">
                  <c:v>300</c:v>
                </c:pt>
              </c:strCache>
            </c:strRef>
          </c:cat>
          <c:val>
            <c:numRef>
              <c:f>Kabelstrecke!$G$11:$G$71</c:f>
              <c:numCache>
                <c:formatCode>General</c:formatCode>
                <c:ptCount val="61"/>
                <c:pt idx="0">
                  <c:v>1</c:v>
                </c:pt>
                <c:pt idx="1">
                  <c:v>0.99984370785187304</c:v>
                </c:pt>
                <c:pt idx="2">
                  <c:v>0.99876084196278148</c:v>
                </c:pt>
                <c:pt idx="3">
                  <c:v>0.99676024322493584</c:v>
                </c:pt>
                <c:pt idx="4">
                  <c:v>0.9938569924394729</c:v>
                </c:pt>
                <c:pt idx="5">
                  <c:v>0.99007211862686351</c:v>
                </c:pt>
                <c:pt idx="6">
                  <c:v>0.98543219990207831</c:v>
                </c:pt>
                <c:pt idx="7">
                  <c:v>0.97996887170816172</c:v>
                </c:pt>
                <c:pt idx="8">
                  <c:v>0.97371826000771955</c:v>
                </c:pt>
                <c:pt idx="9">
                  <c:v>0.96672035882741458</c:v>
                </c:pt>
                <c:pt idx="10">
                  <c:v>0.95901837229721187</c:v>
                </c:pt>
                <c:pt idx="11">
                  <c:v>0.95065804106688589</c:v>
                </c:pt>
                <c:pt idx="12">
                  <c:v>0.94168697182739791</c:v>
                </c:pt>
                <c:pt idx="13">
                  <c:v>0.93215398677706052</c:v>
                </c:pt>
                <c:pt idx="14">
                  <c:v>0.92210850744480499</c:v>
                </c:pt>
                <c:pt idx="15">
                  <c:v>0.91159998451990953</c:v>
                </c:pt>
                <c:pt idx="16">
                  <c:v>0.90067738243539164</c:v>
                </c:pt>
                <c:pt idx="17">
                  <c:v>0.88938872458617291</c:v>
                </c:pt>
                <c:pt idx="18">
                  <c:v>0.87778070237591332</c:v>
                </c:pt>
                <c:pt idx="19">
                  <c:v>0.86589834888496819</c:v>
                </c:pt>
                <c:pt idx="20">
                  <c:v>0.85378477590556889</c:v>
                </c:pt>
                <c:pt idx="21">
                  <c:v>0.8414809714336442</c:v>
                </c:pt>
                <c:pt idx="22">
                  <c:v>0.82902565344503865</c:v>
                </c:pt>
                <c:pt idx="23">
                  <c:v>0.81645517489834685</c:v>
                </c:pt>
                <c:pt idx="24">
                  <c:v>0.80380347436233346</c:v>
                </c:pt>
                <c:pt idx="25">
                  <c:v>0.79110206641652192</c:v>
                </c:pt>
                <c:pt idx="26">
                  <c:v>0.77838006596838449</c:v>
                </c:pt>
                <c:pt idx="27">
                  <c:v>0.76566424081749729</c:v>
                </c:pt>
                <c:pt idx="28">
                  <c:v>0.7529790871270593</c:v>
                </c:pt>
                <c:pt idx="29">
                  <c:v>0.74034692289171289</c:v>
                </c:pt>
                <c:pt idx="30">
                  <c:v>0.72778799497950197</c:v>
                </c:pt>
                <c:pt idx="31">
                  <c:v>0.71532059584307539</c:v>
                </c:pt>
                <c:pt idx="32">
                  <c:v>0.70296118651591244</c:v>
                </c:pt>
                <c:pt idx="33">
                  <c:v>0.6907245230143465</c:v>
                </c:pt>
                <c:pt idx="34">
                  <c:v>0.67862378374164334</c:v>
                </c:pt>
                <c:pt idx="35">
                  <c:v>0.66667069592765049</c:v>
                </c:pt>
                <c:pt idx="36">
                  <c:v>0.65487565953113136</c:v>
                </c:pt>
                <c:pt idx="37">
                  <c:v>0.64324786737976725</c:v>
                </c:pt>
                <c:pt idx="38">
                  <c:v>0.63179542062483285</c:v>
                </c:pt>
                <c:pt idx="39">
                  <c:v>0.62052543884564937</c:v>
                </c:pt>
                <c:pt idx="40">
                  <c:v>0.60944416435553628</c:v>
                </c:pt>
                <c:pt idx="41">
                  <c:v>0.59855706044001533</c:v>
                </c:pt>
                <c:pt idx="42">
                  <c:v>0.58786890340291842</c:v>
                </c:pt>
                <c:pt idx="43">
                  <c:v>0.57738386841095857</c:v>
                </c:pt>
                <c:pt idx="44">
                  <c:v>0.56710560921603193</c:v>
                </c:pt>
                <c:pt idx="45">
                  <c:v>0.55703733190073246</c:v>
                </c:pt>
                <c:pt idx="46">
                  <c:v>0.54718186283949521</c:v>
                </c:pt>
                <c:pt idx="47">
                  <c:v>0.53754171109891846</c:v>
                </c:pt>
                <c:pt idx="48">
                  <c:v>0.52811912551825158</c:v>
                </c:pt>
                <c:pt idx="49">
                  <c:v>0.51891614671796416</c:v>
                </c:pt>
                <c:pt idx="50">
                  <c:v>0.50993465428217299</c:v>
                </c:pt>
                <c:pt idx="51">
                  <c:v>0.50117640935179197</c:v>
                </c:pt>
                <c:pt idx="52">
                  <c:v>0.49264309285108981</c:v>
                </c:pt>
                <c:pt idx="53">
                  <c:v>0.48433633955208272</c:v>
                </c:pt>
                <c:pt idx="54">
                  <c:v>0.47625776816047816</c:v>
                </c:pt>
                <c:pt idx="55">
                  <c:v>0.46840900758443638</c:v>
                </c:pt>
                <c:pt idx="56">
                  <c:v>0.46079171952452558</c:v>
                </c:pt>
                <c:pt idx="57">
                  <c:v>0.45340761750060077</c:v>
                </c:pt>
                <c:pt idx="58">
                  <c:v>0.44625848241001864</c:v>
                </c:pt>
                <c:pt idx="59">
                  <c:v>0.43934617469229048</c:v>
                </c:pt>
                <c:pt idx="60">
                  <c:v>0.4326726431588695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74-EE41-892E-EA920F4FF50C}"/>
            </c:ext>
          </c:extLst>
        </c:ser>
        <c:ser>
          <c:idx val="1"/>
          <c:order val="1"/>
          <c:tx>
            <c:strRef>
              <c:f>Kabelstrecke!$H$10</c:f>
              <c:strCache>
                <c:ptCount val="1"/>
                <c:pt idx="0">
                  <c:v>cosφ</c:v>
                </c:pt>
              </c:strCache>
            </c:strRef>
          </c:tx>
          <c:spPr>
            <a:ln w="47520" cap="rnd">
              <a:solidFill>
                <a:srgbClr val="BE4B48"/>
              </a:solidFill>
            </a:ln>
          </c:spPr>
          <c:marker>
            <c:symbol val="none"/>
          </c:marker>
          <c:cat>
            <c:strRef>
              <c:f>Kabelstrecke!$B$10:$B$71</c:f>
              <c:strCache>
                <c:ptCount val="62"/>
                <c:pt idx="0">
                  <c:v>Länge [km]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  <c:pt idx="22">
                  <c:v>105</c:v>
                </c:pt>
                <c:pt idx="23">
                  <c:v>110</c:v>
                </c:pt>
                <c:pt idx="24">
                  <c:v>115</c:v>
                </c:pt>
                <c:pt idx="25">
                  <c:v>120</c:v>
                </c:pt>
                <c:pt idx="26">
                  <c:v>125</c:v>
                </c:pt>
                <c:pt idx="27">
                  <c:v>130</c:v>
                </c:pt>
                <c:pt idx="28">
                  <c:v>135</c:v>
                </c:pt>
                <c:pt idx="29">
                  <c:v>140</c:v>
                </c:pt>
                <c:pt idx="30">
                  <c:v>145</c:v>
                </c:pt>
                <c:pt idx="31">
                  <c:v>150</c:v>
                </c:pt>
                <c:pt idx="32">
                  <c:v>155</c:v>
                </c:pt>
                <c:pt idx="33">
                  <c:v>160</c:v>
                </c:pt>
                <c:pt idx="34">
                  <c:v>165</c:v>
                </c:pt>
                <c:pt idx="35">
                  <c:v>170</c:v>
                </c:pt>
                <c:pt idx="36">
                  <c:v>175</c:v>
                </c:pt>
                <c:pt idx="37">
                  <c:v>180</c:v>
                </c:pt>
                <c:pt idx="38">
                  <c:v>185</c:v>
                </c:pt>
                <c:pt idx="39">
                  <c:v>190</c:v>
                </c:pt>
                <c:pt idx="40">
                  <c:v>195</c:v>
                </c:pt>
                <c:pt idx="41">
                  <c:v>200</c:v>
                </c:pt>
                <c:pt idx="42">
                  <c:v>205</c:v>
                </c:pt>
                <c:pt idx="43">
                  <c:v>210</c:v>
                </c:pt>
                <c:pt idx="44">
                  <c:v>215</c:v>
                </c:pt>
                <c:pt idx="45">
                  <c:v>220</c:v>
                </c:pt>
                <c:pt idx="46">
                  <c:v>225</c:v>
                </c:pt>
                <c:pt idx="47">
                  <c:v>230</c:v>
                </c:pt>
                <c:pt idx="48">
                  <c:v>235</c:v>
                </c:pt>
                <c:pt idx="49">
                  <c:v>240</c:v>
                </c:pt>
                <c:pt idx="50">
                  <c:v>245</c:v>
                </c:pt>
                <c:pt idx="51">
                  <c:v>250</c:v>
                </c:pt>
                <c:pt idx="52">
                  <c:v>255</c:v>
                </c:pt>
                <c:pt idx="53">
                  <c:v>260</c:v>
                </c:pt>
                <c:pt idx="54">
                  <c:v>265</c:v>
                </c:pt>
                <c:pt idx="55">
                  <c:v>270</c:v>
                </c:pt>
                <c:pt idx="56">
                  <c:v>275</c:v>
                </c:pt>
                <c:pt idx="57">
                  <c:v>280</c:v>
                </c:pt>
                <c:pt idx="58">
                  <c:v>285</c:v>
                </c:pt>
                <c:pt idx="59">
                  <c:v>290</c:v>
                </c:pt>
                <c:pt idx="60">
                  <c:v>295</c:v>
                </c:pt>
                <c:pt idx="61">
                  <c:v>300</c:v>
                </c:pt>
              </c:strCache>
            </c:strRef>
          </c:cat>
          <c:val>
            <c:numRef>
              <c:f>Kabelstrecke!$H$11:$H$71</c:f>
              <c:numCache>
                <c:formatCode>General</c:formatCode>
                <c:ptCount val="61"/>
                <c:pt idx="0">
                  <c:v>1</c:v>
                </c:pt>
                <c:pt idx="1">
                  <c:v>0.99976707442543244</c:v>
                </c:pt>
                <c:pt idx="2">
                  <c:v>0.99907059987248426</c:v>
                </c:pt>
                <c:pt idx="3">
                  <c:v>0.99791738287831522</c:v>
                </c:pt>
                <c:pt idx="4">
                  <c:v>0.99631858431384202</c:v>
                </c:pt>
                <c:pt idx="5">
                  <c:v>0.99428950425625251</c:v>
                </c:pt>
                <c:pt idx="6">
                  <c:v>0.99184929110438358</c:v>
                </c:pt>
                <c:pt idx="7">
                  <c:v>0.98902058574277296</c:v>
                </c:pt>
                <c:pt idx="8">
                  <c:v>0.98582911353874436</c:v>
                </c:pt>
                <c:pt idx="9">
                  <c:v>0.982303238197476</c:v>
                </c:pt>
                <c:pt idx="10">
                  <c:v>0.97847349197830913</c:v>
                </c:pt>
                <c:pt idx="11">
                  <c:v>0.97437209652567425</c:v>
                </c:pt>
                <c:pt idx="12">
                  <c:v>0.97003248767371497</c:v>
                </c:pt>
                <c:pt idx="13">
                  <c:v>0.96548885616556823</c:v>
                </c:pt>
                <c:pt idx="14">
                  <c:v>0.96077571442878729</c:v>
                </c:pt>
                <c:pt idx="15">
                  <c:v>0.95592749751702544</c:v>
                </c:pt>
                <c:pt idx="16">
                  <c:v>0.95097820420798207</c:v>
                </c:pt>
                <c:pt idx="17">
                  <c:v>0.94596108216522956</c:v>
                </c:pt>
                <c:pt idx="18">
                  <c:v>0.94090835912972781</c:v>
                </c:pt>
                <c:pt idx="19">
                  <c:v>0.9358510203813899</c:v>
                </c:pt>
                <c:pt idx="20">
                  <c:v>0.93081863125036934</c:v>
                </c:pt>
                <c:pt idx="21">
                  <c:v>0.92583920228484884</c:v>
                </c:pt>
                <c:pt idx="22">
                  <c:v>0.92093909379860506</c:v>
                </c:pt>
                <c:pt idx="23">
                  <c:v>0.91614295591210892</c:v>
                </c:pt>
                <c:pt idx="24">
                  <c:v>0.91147369983811555</c:v>
                </c:pt>
                <c:pt idx="25">
                  <c:v>0.90695249601184047</c:v>
                </c:pt>
                <c:pt idx="26">
                  <c:v>0.90259879468881532</c:v>
                </c:pt>
                <c:pt idx="27">
                  <c:v>0.89843036479211158</c:v>
                </c:pt>
                <c:pt idx="28">
                  <c:v>0.8944633470486224</c:v>
                </c:pt>
                <c:pt idx="29">
                  <c:v>0.89071231777928195</c:v>
                </c:pt>
                <c:pt idx="30">
                  <c:v>0.88719036007266017</c:v>
                </c:pt>
                <c:pt idx="31">
                  <c:v>0.88390913945266658</c:v>
                </c:pt>
                <c:pt idx="32">
                  <c:v>0.88087898153127164</c:v>
                </c:pt>
                <c:pt idx="33">
                  <c:v>0.87810894950301832</c:v>
                </c:pt>
                <c:pt idx="34">
                  <c:v>0.87560691968030235</c:v>
                </c:pt>
                <c:pt idx="35">
                  <c:v>0.87337965358128711</c:v>
                </c:pt>
                <c:pt idx="36">
                  <c:v>0.87143286536271181</c:v>
                </c:pt>
                <c:pt idx="37">
                  <c:v>0.86977128363710043</c:v>
                </c:pt>
                <c:pt idx="38">
                  <c:v>0.86839870692872756</c:v>
                </c:pt>
                <c:pt idx="39">
                  <c:v>0.86731805220741232</c:v>
                </c:pt>
                <c:pt idx="40">
                  <c:v>0.86653139609658625</c:v>
                </c:pt>
                <c:pt idx="41">
                  <c:v>0.86604000848587093</c:v>
                </c:pt>
                <c:pt idx="42">
                  <c:v>0.86584437839228212</c:v>
                </c:pt>
                <c:pt idx="43">
                  <c:v>0.86594423201228254</c:v>
                </c:pt>
                <c:pt idx="44">
                  <c:v>0.86633854299329438</c:v>
                </c:pt>
                <c:pt idx="45">
                  <c:v>0.86702553503191993</c:v>
                </c:pt>
                <c:pt idx="46">
                  <c:v>0.86800267698091937</c:v>
                </c:pt>
                <c:pt idx="47">
                  <c:v>0.86926667072179464</c:v>
                </c:pt>
                <c:pt idx="48">
                  <c:v>0.87081343213793683</c:v>
                </c:pt>
                <c:pt idx="49">
                  <c:v>0.87263806560829393</c:v>
                </c:pt>
                <c:pt idx="50">
                  <c:v>0.87473483253620199</c:v>
                </c:pt>
                <c:pt idx="51">
                  <c:v>0.87709711453509309</c:v>
                </c:pt>
                <c:pt idx="52">
                  <c:v>0.87971737201449496</c:v>
                </c:pt>
                <c:pt idx="53">
                  <c:v>0.88258709904757771</c:v>
                </c:pt>
                <c:pt idx="54">
                  <c:v>0.88569677555639681</c:v>
                </c:pt>
                <c:pt idx="55">
                  <c:v>0.88903581802289411</c:v>
                </c:pt>
                <c:pt idx="56">
                  <c:v>0.89259253012142081</c:v>
                </c:pt>
                <c:pt idx="57">
                  <c:v>0.89635405486948572</c:v>
                </c:pt>
                <c:pt idx="58">
                  <c:v>0.90030633010338301</c:v>
                </c:pt>
                <c:pt idx="59">
                  <c:v>0.9044340492982218</c:v>
                </c:pt>
                <c:pt idx="60">
                  <c:v>0.90872062995939928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74-EE41-892E-EA920F4FF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163375"/>
        <c:axId val="434161359"/>
      </c:lineChart>
      <c:valAx>
        <c:axId val="434161359"/>
        <c:scaling>
          <c:orientation val="minMax"/>
          <c:min val="0"/>
        </c:scaling>
        <c:delete val="0"/>
        <c:axPos val="l"/>
        <c:majorGridlines>
          <c:spPr>
            <a:ln w="9360">
              <a:solidFill>
                <a:srgbClr val="868686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868686"/>
            </a:solidFill>
          </a:ln>
        </c:spPr>
        <c:txPr>
          <a:bodyPr/>
          <a:lstStyle/>
          <a:p>
            <a:pPr>
              <a:defRPr sz="1200" b="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434163375"/>
        <c:crosses val="autoZero"/>
        <c:crossBetween val="between"/>
      </c:valAx>
      <c:catAx>
        <c:axId val="43416337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360">
            <a:solidFill>
              <a:srgbClr val="868686"/>
            </a:solidFill>
          </a:ln>
        </c:spPr>
        <c:txPr>
          <a:bodyPr/>
          <a:lstStyle/>
          <a:p>
            <a:pPr>
              <a:defRPr sz="1200" b="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434161359"/>
        <c:crossesAt val="0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ln w="9360">
      <a:solidFill>
        <a:srgbClr val="868686"/>
      </a:solidFill>
      <a:prstDash val="solid"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Kabelstrecke!$D$10</c:f>
              <c:strCache>
                <c:ptCount val="1"/>
                <c:pt idx="0">
                  <c:v>Re {Zi}</c:v>
                </c:pt>
              </c:strCache>
            </c:strRef>
          </c:tx>
          <c:spPr>
            <a:ln w="47520" cap="rnd">
              <a:solidFill>
                <a:srgbClr val="4A7EBB"/>
              </a:solidFill>
            </a:ln>
          </c:spPr>
          <c:marker>
            <c:symbol val="none"/>
          </c:marker>
          <c:cat>
            <c:strRef>
              <c:f>Kabelstrecke!$B$10:$B$71</c:f>
              <c:strCache>
                <c:ptCount val="62"/>
                <c:pt idx="0">
                  <c:v>Länge [km]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  <c:pt idx="22">
                  <c:v>105</c:v>
                </c:pt>
                <c:pt idx="23">
                  <c:v>110</c:v>
                </c:pt>
                <c:pt idx="24">
                  <c:v>115</c:v>
                </c:pt>
                <c:pt idx="25">
                  <c:v>120</c:v>
                </c:pt>
                <c:pt idx="26">
                  <c:v>125</c:v>
                </c:pt>
                <c:pt idx="27">
                  <c:v>130</c:v>
                </c:pt>
                <c:pt idx="28">
                  <c:v>135</c:v>
                </c:pt>
                <c:pt idx="29">
                  <c:v>140</c:v>
                </c:pt>
                <c:pt idx="30">
                  <c:v>145</c:v>
                </c:pt>
                <c:pt idx="31">
                  <c:v>150</c:v>
                </c:pt>
                <c:pt idx="32">
                  <c:v>155</c:v>
                </c:pt>
                <c:pt idx="33">
                  <c:v>160</c:v>
                </c:pt>
                <c:pt idx="34">
                  <c:v>165</c:v>
                </c:pt>
                <c:pt idx="35">
                  <c:v>170</c:v>
                </c:pt>
                <c:pt idx="36">
                  <c:v>175</c:v>
                </c:pt>
                <c:pt idx="37">
                  <c:v>180</c:v>
                </c:pt>
                <c:pt idx="38">
                  <c:v>185</c:v>
                </c:pt>
                <c:pt idx="39">
                  <c:v>190</c:v>
                </c:pt>
                <c:pt idx="40">
                  <c:v>195</c:v>
                </c:pt>
                <c:pt idx="41">
                  <c:v>200</c:v>
                </c:pt>
                <c:pt idx="42">
                  <c:v>205</c:v>
                </c:pt>
                <c:pt idx="43">
                  <c:v>210</c:v>
                </c:pt>
                <c:pt idx="44">
                  <c:v>215</c:v>
                </c:pt>
                <c:pt idx="45">
                  <c:v>220</c:v>
                </c:pt>
                <c:pt idx="46">
                  <c:v>225</c:v>
                </c:pt>
                <c:pt idx="47">
                  <c:v>230</c:v>
                </c:pt>
                <c:pt idx="48">
                  <c:v>235</c:v>
                </c:pt>
                <c:pt idx="49">
                  <c:v>240</c:v>
                </c:pt>
                <c:pt idx="50">
                  <c:v>245</c:v>
                </c:pt>
                <c:pt idx="51">
                  <c:v>250</c:v>
                </c:pt>
                <c:pt idx="52">
                  <c:v>255</c:v>
                </c:pt>
                <c:pt idx="53">
                  <c:v>260</c:v>
                </c:pt>
                <c:pt idx="54">
                  <c:v>265</c:v>
                </c:pt>
                <c:pt idx="55">
                  <c:v>270</c:v>
                </c:pt>
                <c:pt idx="56">
                  <c:v>275</c:v>
                </c:pt>
                <c:pt idx="57">
                  <c:v>280</c:v>
                </c:pt>
                <c:pt idx="58">
                  <c:v>285</c:v>
                </c:pt>
                <c:pt idx="59">
                  <c:v>290</c:v>
                </c:pt>
                <c:pt idx="60">
                  <c:v>295</c:v>
                </c:pt>
                <c:pt idx="61">
                  <c:v>300</c:v>
                </c:pt>
              </c:strCache>
            </c:strRef>
          </c:cat>
          <c:val>
            <c:numRef>
              <c:f>Kabelstrecke!$D$11:$D$71</c:f>
              <c:numCache>
                <c:formatCode>0.0</c:formatCode>
                <c:ptCount val="61"/>
                <c:pt idx="0" formatCode="General">
                  <c:v>84</c:v>
                </c:pt>
                <c:pt idx="1">
                  <c:v>83.967308769266495</c:v>
                </c:pt>
                <c:pt idx="2">
                  <c:v>83.817937854747896</c:v>
                </c:pt>
                <c:pt idx="3">
                  <c:v>83.553487355199195</c:v>
                </c:pt>
                <c:pt idx="4">
                  <c:v>83.176648104287494</c:v>
                </c:pt>
                <c:pt idx="5">
                  <c:v>82.691138544625105</c:v>
                </c:pt>
                <c:pt idx="6">
                  <c:v>82.101619227962004</c:v>
                </c:pt>
                <c:pt idx="7">
                  <c:v>81.413588550545199</c:v>
                </c:pt>
                <c:pt idx="8">
                  <c:v>80.633263964391503</c:v>
                </c:pt>
                <c:pt idx="9">
                  <c:v>79.767453268238</c:v>
                </c:pt>
                <c:pt idx="10">
                  <c:v>78.823420671492599</c:v>
                </c:pt>
                <c:pt idx="11">
                  <c:v>77.808752158479905</c:v>
                </c:pt>
                <c:pt idx="12">
                  <c:v>76.731224294899306</c:v>
                </c:pt>
                <c:pt idx="13">
                  <c:v>75.598680062938897</c:v>
                </c:pt>
                <c:pt idx="14">
                  <c:v>74.418914641776198</c:v>
                </c:pt>
                <c:pt idx="15">
                  <c:v>73.199573322848806</c:v>
                </c:pt>
                <c:pt idx="16">
                  <c:v>71.948063016408994</c:v>
                </c:pt>
                <c:pt idx="17">
                  <c:v>70.671478111507497</c:v>
                </c:pt>
                <c:pt idx="18">
                  <c:v>69.376540829253898</c:v>
                </c:pt>
                <c:pt idx="19">
                  <c:v>68.0695556814469</c:v>
                </c:pt>
                <c:pt idx="20">
                  <c:v>66.756377225229301</c:v>
                </c:pt>
                <c:pt idx="21">
                  <c:v>65.442389991720404</c:v>
                </c:pt>
                <c:pt idx="22">
                  <c:v>64.132499257635502</c:v>
                </c:pt>
                <c:pt idx="23">
                  <c:v>62.831131213293197</c:v>
                </c:pt>
                <c:pt idx="24">
                  <c:v>61.542241044460503</c:v>
                </c:pt>
                <c:pt idx="25">
                  <c:v>60.269327473873503</c:v>
                </c:pt>
                <c:pt idx="26">
                  <c:v>59.0154523856406</c:v>
                </c:pt>
                <c:pt idx="27">
                  <c:v>57.783264267618897</c:v>
                </c:pt>
                <c:pt idx="28">
                  <c:v>56.575024340459997</c:v>
                </c:pt>
                <c:pt idx="29">
                  <c:v>55.392634386569497</c:v>
                </c:pt>
                <c:pt idx="30">
                  <c:v>54.237665439083599</c:v>
                </c:pt>
                <c:pt idx="31">
                  <c:v>53.111386633571399</c:v>
                </c:pt>
                <c:pt idx="32">
                  <c:v>52.014793658868697</c:v>
                </c:pt>
                <c:pt idx="33">
                  <c:v>50.9486363652085</c:v>
                </c:pt>
                <c:pt idx="34">
                  <c:v>49.913445195920197</c:v>
                </c:pt>
                <c:pt idx="35">
                  <c:v>48.909556202815303</c:v>
                </c:pt>
                <c:pt idx="36">
                  <c:v>47.937134485086801</c:v>
                </c:pt>
                <c:pt idx="37">
                  <c:v>46.996195957849103</c:v>
                </c:pt>
                <c:pt idx="38">
                  <c:v>46.086627410384096</c:v>
                </c:pt>
                <c:pt idx="39">
                  <c:v>45.208204857039703</c:v>
                </c:pt>
                <c:pt idx="40">
                  <c:v>44.360610216881298</c:v>
                </c:pt>
                <c:pt idx="41">
                  <c:v>43.543446383030897</c:v>
                </c:pt>
                <c:pt idx="42">
                  <c:v>42.7562507604164</c:v>
                </c:pt>
                <c:pt idx="43">
                  <c:v>41.998507362622298</c:v>
                </c:pt>
                <c:pt idx="44">
                  <c:v>41.269657565769499</c:v>
                </c:pt>
                <c:pt idx="45">
                  <c:v>40.5691096208148</c:v>
                </c:pt>
                <c:pt idx="46">
                  <c:v>39.896247026167401</c:v>
                </c:pt>
                <c:pt idx="47">
                  <c:v>39.250435860808501</c:v>
                </c:pt>
                <c:pt idx="48">
                  <c:v>38.6310311746997</c:v>
                </c:pt>
                <c:pt idx="49">
                  <c:v>38.037382528729403</c:v>
                </c:pt>
                <c:pt idx="50">
                  <c:v>37.468838771105503</c:v>
                </c:pt>
                <c:pt idx="51">
                  <c:v>36.9247521313033</c:v>
                </c:pt>
                <c:pt idx="52">
                  <c:v>36.404481706660498</c:v>
                </c:pt>
                <c:pt idx="53">
                  <c:v>35.907396410642001</c:v>
                </c:pt>
                <c:pt idx="54">
                  <c:v>35.432877445847403</c:v>
                </c:pt>
                <c:pt idx="55">
                  <c:v>34.980320359078199</c:v>
                </c:pt>
                <c:pt idx="56">
                  <c:v>34.5491367303093</c:v>
                </c:pt>
                <c:pt idx="57">
                  <c:v>34.138755542251602</c:v>
                </c:pt>
                <c:pt idx="58">
                  <c:v>33.748624272389797</c:v>
                </c:pt>
                <c:pt idx="59">
                  <c:v>33.378209744933102</c:v>
                </c:pt>
                <c:pt idx="60">
                  <c:v>33.026998776032201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BF-A548-846D-84ACB9089307}"/>
            </c:ext>
          </c:extLst>
        </c:ser>
        <c:ser>
          <c:idx val="1"/>
          <c:order val="1"/>
          <c:tx>
            <c:strRef>
              <c:f>Kabelstrecke!$E$10</c:f>
              <c:strCache>
                <c:ptCount val="1"/>
                <c:pt idx="0">
                  <c:v>Im{Zi}</c:v>
                </c:pt>
              </c:strCache>
            </c:strRef>
          </c:tx>
          <c:spPr>
            <a:ln w="47520" cap="rnd">
              <a:solidFill>
                <a:srgbClr val="BE4B48"/>
              </a:solidFill>
            </a:ln>
          </c:spPr>
          <c:marker>
            <c:symbol val="none"/>
          </c:marker>
          <c:cat>
            <c:strRef>
              <c:f>Kabelstrecke!$B$10:$B$71</c:f>
              <c:strCache>
                <c:ptCount val="62"/>
                <c:pt idx="0">
                  <c:v>Länge [km]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45</c:v>
                </c:pt>
                <c:pt idx="11">
                  <c:v>50</c:v>
                </c:pt>
                <c:pt idx="12">
                  <c:v>55</c:v>
                </c:pt>
                <c:pt idx="13">
                  <c:v>60</c:v>
                </c:pt>
                <c:pt idx="14">
                  <c:v>65</c:v>
                </c:pt>
                <c:pt idx="15">
                  <c:v>70</c:v>
                </c:pt>
                <c:pt idx="16">
                  <c:v>75</c:v>
                </c:pt>
                <c:pt idx="17">
                  <c:v>80</c:v>
                </c:pt>
                <c:pt idx="18">
                  <c:v>85</c:v>
                </c:pt>
                <c:pt idx="19">
                  <c:v>90</c:v>
                </c:pt>
                <c:pt idx="20">
                  <c:v>95</c:v>
                </c:pt>
                <c:pt idx="21">
                  <c:v>100</c:v>
                </c:pt>
                <c:pt idx="22">
                  <c:v>105</c:v>
                </c:pt>
                <c:pt idx="23">
                  <c:v>110</c:v>
                </c:pt>
                <c:pt idx="24">
                  <c:v>115</c:v>
                </c:pt>
                <c:pt idx="25">
                  <c:v>120</c:v>
                </c:pt>
                <c:pt idx="26">
                  <c:v>125</c:v>
                </c:pt>
                <c:pt idx="27">
                  <c:v>130</c:v>
                </c:pt>
                <c:pt idx="28">
                  <c:v>135</c:v>
                </c:pt>
                <c:pt idx="29">
                  <c:v>140</c:v>
                </c:pt>
                <c:pt idx="30">
                  <c:v>145</c:v>
                </c:pt>
                <c:pt idx="31">
                  <c:v>150</c:v>
                </c:pt>
                <c:pt idx="32">
                  <c:v>155</c:v>
                </c:pt>
                <c:pt idx="33">
                  <c:v>160</c:v>
                </c:pt>
                <c:pt idx="34">
                  <c:v>165</c:v>
                </c:pt>
                <c:pt idx="35">
                  <c:v>170</c:v>
                </c:pt>
                <c:pt idx="36">
                  <c:v>175</c:v>
                </c:pt>
                <c:pt idx="37">
                  <c:v>180</c:v>
                </c:pt>
                <c:pt idx="38">
                  <c:v>185</c:v>
                </c:pt>
                <c:pt idx="39">
                  <c:v>190</c:v>
                </c:pt>
                <c:pt idx="40">
                  <c:v>195</c:v>
                </c:pt>
                <c:pt idx="41">
                  <c:v>200</c:v>
                </c:pt>
                <c:pt idx="42">
                  <c:v>205</c:v>
                </c:pt>
                <c:pt idx="43">
                  <c:v>210</c:v>
                </c:pt>
                <c:pt idx="44">
                  <c:v>215</c:v>
                </c:pt>
                <c:pt idx="45">
                  <c:v>220</c:v>
                </c:pt>
                <c:pt idx="46">
                  <c:v>225</c:v>
                </c:pt>
                <c:pt idx="47">
                  <c:v>230</c:v>
                </c:pt>
                <c:pt idx="48">
                  <c:v>235</c:v>
                </c:pt>
                <c:pt idx="49">
                  <c:v>240</c:v>
                </c:pt>
                <c:pt idx="50">
                  <c:v>245</c:v>
                </c:pt>
                <c:pt idx="51">
                  <c:v>250</c:v>
                </c:pt>
                <c:pt idx="52">
                  <c:v>255</c:v>
                </c:pt>
                <c:pt idx="53">
                  <c:v>260</c:v>
                </c:pt>
                <c:pt idx="54">
                  <c:v>265</c:v>
                </c:pt>
                <c:pt idx="55">
                  <c:v>270</c:v>
                </c:pt>
                <c:pt idx="56">
                  <c:v>275</c:v>
                </c:pt>
                <c:pt idx="57">
                  <c:v>280</c:v>
                </c:pt>
                <c:pt idx="58">
                  <c:v>285</c:v>
                </c:pt>
                <c:pt idx="59">
                  <c:v>290</c:v>
                </c:pt>
                <c:pt idx="60">
                  <c:v>295</c:v>
                </c:pt>
                <c:pt idx="61">
                  <c:v>300</c:v>
                </c:pt>
              </c:strCache>
            </c:strRef>
          </c:cat>
          <c:val>
            <c:numRef>
              <c:f>Kabelstrecke!$E$11:$E$71</c:f>
              <c:numCache>
                <c:formatCode>0.0</c:formatCode>
                <c:ptCount val="61"/>
                <c:pt idx="1">
                  <c:v>-1.8126322326577</c:v>
                </c:pt>
                <c:pt idx="2">
                  <c:v>-3.6162314823013499</c:v>
                </c:pt>
                <c:pt idx="3">
                  <c:v>-5.4008668859671296</c:v>
                </c:pt>
                <c:pt idx="4">
                  <c:v>-7.1569097018848904</c:v>
                </c:pt>
                <c:pt idx="5">
                  <c:v>-8.8751790727977102</c:v>
                </c:pt>
                <c:pt idx="6">
                  <c:v>-10.547073296773</c:v>
                </c:pt>
                <c:pt idx="7">
                  <c:v>-12.164682871092801</c:v>
                </c:pt>
                <c:pt idx="8">
                  <c:v>-13.7208825353491</c:v>
                </c:pt>
                <c:pt idx="9">
                  <c:v>-15.2094005937414</c:v>
                </c:pt>
                <c:pt idx="10">
                  <c:v>-16.6248648662379</c:v>
                </c:pt>
                <c:pt idx="11">
                  <c:v>-17.962825631695001</c:v>
                </c:pt>
                <c:pt idx="12">
                  <c:v>-19.219756822992501</c:v>
                </c:pt>
                <c:pt idx="13">
                  <c:v>-20.393037470558099</c:v>
                </c:pt>
                <c:pt idx="14">
                  <c:v>-21.480915940125701</c:v>
                </c:pt>
                <c:pt idx="15">
                  <c:v>-22.482459864731702</c:v>
                </c:pt>
                <c:pt idx="16">
                  <c:v>-23.397494836978598</c:v>
                </c:pt>
                <c:pt idx="17">
                  <c:v>-24.226534925024399</c:v>
                </c:pt>
                <c:pt idx="18">
                  <c:v>-24.9707079325695</c:v>
                </c:pt>
                <c:pt idx="19">
                  <c:v>-25.631678071794202</c:v>
                </c:pt>
                <c:pt idx="20">
                  <c:v>-26.211568392211099</c:v>
                </c:pt>
                <c:pt idx="21">
                  <c:v>-26.712884939330198</c:v>
                </c:pt>
                <c:pt idx="22">
                  <c:v>-27.138444232621602</c:v>
                </c:pt>
                <c:pt idx="23">
                  <c:v>-27.491305275169999</c:v>
                </c:pt>
                <c:pt idx="24">
                  <c:v>-27.774706954826001</c:v>
                </c:pt>
                <c:pt idx="25">
                  <c:v>-27.992011380352601</c:v>
                </c:pt>
                <c:pt idx="26">
                  <c:v>-28.146653422995801</c:v>
                </c:pt>
                <c:pt idx="27">
                  <c:v>-28.2420965069219</c:v>
                </c:pt>
                <c:pt idx="28">
                  <c:v>-28.281794510739498</c:v>
                </c:pt>
                <c:pt idx="29">
                  <c:v>-28.269159504159401</c:v>
                </c:pt>
                <c:pt idx="30">
                  <c:v>-28.207534944543699</c:v>
                </c:pt>
                <c:pt idx="31">
                  <c:v>-28.100173892544301</c:v>
                </c:pt>
                <c:pt idx="32">
                  <c:v>-27.950221768819802</c:v>
                </c:pt>
                <c:pt idx="33">
                  <c:v>-27.7607031595808</c:v>
                </c:pt>
                <c:pt idx="34">
                  <c:v>-27.5345121824374</c:v>
                </c:pt>
                <c:pt idx="35">
                  <c:v>-27.274405941203199</c:v>
                </c:pt>
                <c:pt idx="36">
                  <c:v>-26.9830006250609</c:v>
                </c:pt>
                <c:pt idx="37">
                  <c:v>-26.662769840538701</c:v>
                </c:pt>
                <c:pt idx="38">
                  <c:v>-26.3160448014374</c:v>
                </c:pt>
                <c:pt idx="39">
                  <c:v>-25.945016040085399</c:v>
                </c:pt>
                <c:pt idx="40">
                  <c:v>-25.551736341493601</c:v>
                </c:pt>
                <c:pt idx="41">
                  <c:v>-25.138124638962299</c:v>
                </c:pt>
                <c:pt idx="42">
                  <c:v>-24.705970644651401</c:v>
                </c:pt>
                <c:pt idx="43">
                  <c:v>-24.2569400210383</c:v>
                </c:pt>
                <c:pt idx="44">
                  <c:v>-23.792579928758698</c:v>
                </c:pt>
                <c:pt idx="45">
                  <c:v>-23.314324812939802</c:v>
                </c:pt>
                <c:pt idx="46">
                  <c:v>-22.823502313792201</c:v>
                </c:pt>
                <c:pt idx="47">
                  <c:v>-22.3213392080362</c:v>
                </c:pt>
                <c:pt idx="48">
                  <c:v>-21.808967305855099</c:v>
                </c:pt>
                <c:pt idx="49">
                  <c:v>-21.287429243702199</c:v>
                </c:pt>
                <c:pt idx="50">
                  <c:v>-20.757684126649998</c:v>
                </c:pt>
                <c:pt idx="51">
                  <c:v>-20.220612985302399</c:v>
                </c:pt>
                <c:pt idx="52">
                  <c:v>-19.6770240218111</c:v>
                </c:pt>
                <c:pt idx="53">
                  <c:v>-19.127657627461499</c:v>
                </c:pt>
                <c:pt idx="54">
                  <c:v>-18.573191160837599</c:v>
                </c:pt>
                <c:pt idx="55">
                  <c:v>-18.014243480910999</c:v>
                </c:pt>
                <c:pt idx="56">
                  <c:v>-17.4513792337107</c:v>
                </c:pt>
                <c:pt idx="57">
                  <c:v>-16.885112894659802</c:v>
                </c:pt>
                <c:pt idx="58">
                  <c:v>-16.315912571357899</c:v>
                </c:pt>
                <c:pt idx="59">
                  <c:v>-15.744203573653101</c:v>
                </c:pt>
                <c:pt idx="60">
                  <c:v>-15.1703717593959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BF-A548-846D-84ACB9089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482287"/>
        <c:axId val="484480543"/>
      </c:lineChart>
      <c:valAx>
        <c:axId val="484480543"/>
        <c:scaling>
          <c:orientation val="minMax"/>
        </c:scaling>
        <c:delete val="0"/>
        <c:axPos val="l"/>
        <c:majorGridlines>
          <c:spPr>
            <a:ln w="9360">
              <a:solidFill>
                <a:srgbClr val="868686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868686"/>
            </a:solidFill>
          </a:ln>
        </c:spPr>
        <c:txPr>
          <a:bodyPr/>
          <a:lstStyle/>
          <a:p>
            <a:pPr>
              <a:defRPr sz="1200" b="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484482287"/>
        <c:crosses val="autoZero"/>
        <c:crossBetween val="between"/>
      </c:valAx>
      <c:catAx>
        <c:axId val="48448228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360">
            <a:solidFill>
              <a:srgbClr val="868686"/>
            </a:solidFill>
          </a:ln>
        </c:spPr>
        <c:txPr>
          <a:bodyPr/>
          <a:lstStyle/>
          <a:p>
            <a:pPr>
              <a:defRPr sz="1200" b="0" baseline="0">
                <a:solidFill>
                  <a:srgbClr val="000000"/>
                </a:solidFill>
                <a:latin typeface="Calibri"/>
              </a:defRPr>
            </a:pPr>
            <a:endParaRPr lang="de-DE"/>
          </a:p>
        </c:txPr>
        <c:crossAx val="484480543"/>
        <c:crossesAt val="0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000" b="0" baseline="0">
              <a:solidFill>
                <a:srgbClr val="000000"/>
              </a:solidFill>
              <a:latin typeface="Calibri"/>
            </a:defRPr>
          </a:pPr>
          <a:endParaRPr lang="de-DE"/>
        </a:p>
      </c:txPr>
    </c:legend>
    <c:plotVisOnly val="1"/>
    <c:dispBlanksAs val="gap"/>
    <c:showDLblsOverMax val="0"/>
  </c:chart>
  <c:spPr>
    <a:ln w="9360">
      <a:solidFill>
        <a:srgbClr val="868686"/>
      </a:solidFill>
      <a:prstDash val="solid"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5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wmf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317520</xdr:colOff>
      <xdr:row>6</xdr:row>
      <xdr:rowOff>25560</xdr:rowOff>
    </xdr:from>
    <xdr:to>
      <xdr:col>20</xdr:col>
      <xdr:colOff>50400</xdr:colOff>
      <xdr:row>20</xdr:row>
      <xdr:rowOff>101520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748800</xdr:colOff>
      <xdr:row>9</xdr:row>
      <xdr:rowOff>75960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9800"/>
          <a:ext cx="4758480" cy="1695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120600</xdr:colOff>
      <xdr:row>12</xdr:row>
      <xdr:rowOff>0</xdr:rowOff>
    </xdr:from>
    <xdr:to>
      <xdr:col>8</xdr:col>
      <xdr:colOff>37800</xdr:colOff>
      <xdr:row>31</xdr:row>
      <xdr:rowOff>37800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368280</xdr:colOff>
      <xdr:row>0</xdr:row>
      <xdr:rowOff>165240</xdr:rowOff>
    </xdr:from>
    <xdr:to>
      <xdr:col>13</xdr:col>
      <xdr:colOff>748800</xdr:colOff>
      <xdr:row>7</xdr:row>
      <xdr:rowOff>101520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8280" y="165240"/>
          <a:ext cx="7547760" cy="1336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16</xdr:col>
      <xdr:colOff>0</xdr:colOff>
      <xdr:row>0</xdr:row>
      <xdr:rowOff>63360</xdr:rowOff>
    </xdr:from>
    <xdr:to>
      <xdr:col>22</xdr:col>
      <xdr:colOff>723600</xdr:colOff>
      <xdr:row>18</xdr:row>
      <xdr:rowOff>209160</xdr:rowOff>
    </xdr:to>
    <xdr:graphicFrame macro="">
      <xdr:nvGraphicFramePr>
        <xdr:cNvPr id="4" name="Diagramm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15120</xdr:colOff>
      <xdr:row>0</xdr:row>
      <xdr:rowOff>198000</xdr:rowOff>
    </xdr:from>
    <xdr:to>
      <xdr:col>11</xdr:col>
      <xdr:colOff>479520</xdr:colOff>
      <xdr:row>23</xdr:row>
      <xdr:rowOff>22320</xdr:rowOff>
    </xdr:to>
    <xdr:pic>
      <xdr:nvPicPr>
        <xdr:cNvPr id="5" name="Bild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17080" y="198000"/>
          <a:ext cx="5573520" cy="449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774720</xdr:colOff>
      <xdr:row>0</xdr:row>
      <xdr:rowOff>165240</xdr:rowOff>
    </xdr:from>
    <xdr:to>
      <xdr:col>20</xdr:col>
      <xdr:colOff>767880</xdr:colOff>
      <xdr:row>21</xdr:row>
      <xdr:rowOff>50760</xdr:rowOff>
    </xdr:to>
    <xdr:pic>
      <xdr:nvPicPr>
        <xdr:cNvPr id="6" name="Bild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585800" y="165240"/>
          <a:ext cx="7657200" cy="4152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171000</xdr:colOff>
      <xdr:row>0</xdr:row>
      <xdr:rowOff>125280</xdr:rowOff>
    </xdr:from>
    <xdr:to>
      <xdr:col>22</xdr:col>
      <xdr:colOff>310320</xdr:colOff>
      <xdr:row>13</xdr:row>
      <xdr:rowOff>79200</xdr:rowOff>
    </xdr:to>
    <xdr:pic>
      <xdr:nvPicPr>
        <xdr:cNvPr id="7" name="Bild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555720" y="125280"/>
          <a:ext cx="8654760" cy="260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11</xdr:col>
      <xdr:colOff>594360</xdr:colOff>
      <xdr:row>16</xdr:row>
      <xdr:rowOff>127080</xdr:rowOff>
    </xdr:from>
    <xdr:to>
      <xdr:col>21</xdr:col>
      <xdr:colOff>659880</xdr:colOff>
      <xdr:row>35</xdr:row>
      <xdr:rowOff>121680</xdr:rowOff>
    </xdr:to>
    <xdr:graphicFrame macro="">
      <xdr:nvGraphicFramePr>
        <xdr:cNvPr id="8" name="Diagramm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0</xdr:colOff>
      <xdr:row>37</xdr:row>
      <xdr:rowOff>0</xdr:rowOff>
    </xdr:from>
    <xdr:to>
      <xdr:col>22</xdr:col>
      <xdr:colOff>65520</xdr:colOff>
      <xdr:row>55</xdr:row>
      <xdr:rowOff>196920</xdr:rowOff>
    </xdr:to>
    <xdr:graphicFrame macro="">
      <xdr:nvGraphicFramePr>
        <xdr:cNvPr id="9" name="Diagramm 7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594360</xdr:colOff>
      <xdr:row>16</xdr:row>
      <xdr:rowOff>128160</xdr:rowOff>
    </xdr:from>
    <xdr:ext cx="8400240" cy="3840479"/>
    <xdr:graphicFrame macro="">
      <xdr:nvGraphicFramePr>
        <xdr:cNvPr id="2" name="Diagramm 2">
          <a:extLst>
            <a:ext uri="{FF2B5EF4-FFF2-40B4-BE49-F238E27FC236}">
              <a16:creationId xmlns:a16="http://schemas.microsoft.com/office/drawing/2014/main" id="{9B4E564F-7733-8B45-8665-E1183F717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11</xdr:col>
      <xdr:colOff>597980</xdr:colOff>
      <xdr:row>36</xdr:row>
      <xdr:rowOff>177800</xdr:rowOff>
    </xdr:from>
    <xdr:ext cx="8400240" cy="3840479"/>
    <xdr:graphicFrame macro="">
      <xdr:nvGraphicFramePr>
        <xdr:cNvPr id="3" name="Diagramm 3">
          <a:extLst>
            <a:ext uri="{FF2B5EF4-FFF2-40B4-BE49-F238E27FC236}">
              <a16:creationId xmlns:a16="http://schemas.microsoft.com/office/drawing/2014/main" id="{110AD4BF-2354-B740-9E3D-D39D194DB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twoCellAnchor editAs="oneCell">
    <xdr:from>
      <xdr:col>11</xdr:col>
      <xdr:colOff>635000</xdr:colOff>
      <xdr:row>1</xdr:row>
      <xdr:rowOff>127000</xdr:rowOff>
    </xdr:from>
    <xdr:to>
      <xdr:col>19</xdr:col>
      <xdr:colOff>247270</xdr:colOff>
      <xdr:row>14</xdr:row>
      <xdr:rowOff>58695</xdr:rowOff>
    </xdr:to>
    <xdr:pic>
      <xdr:nvPicPr>
        <xdr:cNvPr id="4" name="Bild 1">
          <a:extLst>
            <a:ext uri="{FF2B5EF4-FFF2-40B4-BE49-F238E27FC236}">
              <a16:creationId xmlns:a16="http://schemas.microsoft.com/office/drawing/2014/main" id="{927C4059-5727-1749-A5A4-FB7FF91026D2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15773400" y="330200"/>
          <a:ext cx="8553070" cy="2636795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stephan/Library/Mobile%20Documents/com~apple~CloudDocs/DHBW/1M_Planung_und_Analyse%20von%20Netzen/Arbeitsbla&#776;tter/2_Leitungen/Berechnungen.xlsx" TargetMode="External"/><Relationship Id="rId1" Type="http://schemas.openxmlformats.org/officeDocument/2006/relationships/externalLinkPath" Target="/Users/stephan/Library/Mobile%20Documents/com~apple~CloudDocs/DHBW/1M_Planung_und_Analyse%20von%20Netzen/Arbeitsbla&#776;tter/2_Leitungen/Berechnun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  <sheetName val="Kabelstrecke"/>
    </sheetNames>
    <sheetDataSet>
      <sheetData sheetId="0"/>
      <sheetData sheetId="1">
        <row r="10">
          <cell r="B10" t="str">
            <v>Länge [km]</v>
          </cell>
          <cell r="D10" t="str">
            <v>Re {Zi}</v>
          </cell>
          <cell r="E10" t="str">
            <v>Im{Zi}</v>
          </cell>
          <cell r="G10" t="str">
            <v>|Zi|/RL</v>
          </cell>
          <cell r="H10" t="str">
            <v>cosφ</v>
          </cell>
        </row>
        <row r="11">
          <cell r="B11">
            <v>0</v>
          </cell>
          <cell r="D11">
            <v>84</v>
          </cell>
          <cell r="G11">
            <v>1</v>
          </cell>
          <cell r="H11">
            <v>1</v>
          </cell>
        </row>
        <row r="12">
          <cell r="B12">
            <v>5</v>
          </cell>
          <cell r="D12">
            <v>83.967308769266495</v>
          </cell>
          <cell r="E12">
            <v>-1.8126322326577</v>
          </cell>
          <cell r="G12">
            <v>0.99984370785187304</v>
          </cell>
          <cell r="H12">
            <v>0.99976707442543244</v>
          </cell>
        </row>
        <row r="13">
          <cell r="B13">
            <v>10</v>
          </cell>
          <cell r="D13">
            <v>83.817937854747896</v>
          </cell>
          <cell r="E13">
            <v>-3.6162314823013499</v>
          </cell>
          <cell r="G13">
            <v>0.99876084196278148</v>
          </cell>
          <cell r="H13">
            <v>0.99907059987248426</v>
          </cell>
        </row>
        <row r="14">
          <cell r="B14">
            <v>15</v>
          </cell>
          <cell r="D14">
            <v>83.553487355199195</v>
          </cell>
          <cell r="E14">
            <v>-5.4008668859671296</v>
          </cell>
          <cell r="G14">
            <v>0.99676024322493584</v>
          </cell>
          <cell r="H14">
            <v>0.99791738287831522</v>
          </cell>
        </row>
        <row r="15">
          <cell r="B15">
            <v>20</v>
          </cell>
          <cell r="D15">
            <v>83.176648104287494</v>
          </cell>
          <cell r="E15">
            <v>-7.1569097018848904</v>
          </cell>
          <cell r="G15">
            <v>0.9938569924394729</v>
          </cell>
          <cell r="H15">
            <v>0.99631858431384202</v>
          </cell>
        </row>
        <row r="16">
          <cell r="B16">
            <v>25</v>
          </cell>
          <cell r="D16">
            <v>82.691138544625105</v>
          </cell>
          <cell r="E16">
            <v>-8.8751790727977102</v>
          </cell>
          <cell r="G16">
            <v>0.99007211862686351</v>
          </cell>
          <cell r="H16">
            <v>0.99428950425625251</v>
          </cell>
        </row>
        <row r="17">
          <cell r="B17">
            <v>30</v>
          </cell>
          <cell r="D17">
            <v>82.101619227962004</v>
          </cell>
          <cell r="E17">
            <v>-10.547073296773</v>
          </cell>
          <cell r="G17">
            <v>0.98543219990207831</v>
          </cell>
          <cell r="H17">
            <v>0.99184929110438358</v>
          </cell>
        </row>
        <row r="18">
          <cell r="B18">
            <v>35</v>
          </cell>
          <cell r="D18">
            <v>81.413588550545199</v>
          </cell>
          <cell r="E18">
            <v>-12.164682871092801</v>
          </cell>
          <cell r="G18">
            <v>0.97996887170816172</v>
          </cell>
          <cell r="H18">
            <v>0.98902058574277296</v>
          </cell>
        </row>
        <row r="19">
          <cell r="B19">
            <v>40</v>
          </cell>
          <cell r="D19">
            <v>80.633263964391503</v>
          </cell>
          <cell r="E19">
            <v>-13.7208825353491</v>
          </cell>
          <cell r="G19">
            <v>0.97371826000771955</v>
          </cell>
          <cell r="H19">
            <v>0.98582911353874436</v>
          </cell>
        </row>
        <row r="20">
          <cell r="B20">
            <v>45</v>
          </cell>
          <cell r="D20">
            <v>79.767453268238</v>
          </cell>
          <cell r="E20">
            <v>-15.2094005937414</v>
          </cell>
          <cell r="G20">
            <v>0.96672035882741458</v>
          </cell>
          <cell r="H20">
            <v>0.982303238197476</v>
          </cell>
        </row>
        <row r="21">
          <cell r="B21">
            <v>50</v>
          </cell>
          <cell r="D21">
            <v>78.823420671492599</v>
          </cell>
          <cell r="E21">
            <v>-16.6248648662379</v>
          </cell>
          <cell r="G21">
            <v>0.95901837229721187</v>
          </cell>
          <cell r="H21">
            <v>0.97847349197830913</v>
          </cell>
        </row>
        <row r="22">
          <cell r="B22">
            <v>55</v>
          </cell>
          <cell r="D22">
            <v>77.808752158479905</v>
          </cell>
          <cell r="E22">
            <v>-17.962825631695001</v>
          </cell>
          <cell r="G22">
            <v>0.95065804106688589</v>
          </cell>
          <cell r="H22">
            <v>0.97437209652567425</v>
          </cell>
        </row>
        <row r="23">
          <cell r="B23">
            <v>60</v>
          </cell>
          <cell r="D23">
            <v>76.731224294899306</v>
          </cell>
          <cell r="E23">
            <v>-19.219756822992501</v>
          </cell>
          <cell r="G23">
            <v>0.94168697182739791</v>
          </cell>
          <cell r="H23">
            <v>0.97003248767371497</v>
          </cell>
        </row>
        <row r="24">
          <cell r="B24">
            <v>65</v>
          </cell>
          <cell r="D24">
            <v>75.598680062938897</v>
          </cell>
          <cell r="E24">
            <v>-20.393037470558099</v>
          </cell>
          <cell r="G24">
            <v>0.93215398677706052</v>
          </cell>
          <cell r="H24">
            <v>0.96548885616556823</v>
          </cell>
        </row>
        <row r="25">
          <cell r="B25">
            <v>70</v>
          </cell>
          <cell r="D25">
            <v>74.418914641776198</v>
          </cell>
          <cell r="E25">
            <v>-21.480915940125701</v>
          </cell>
          <cell r="G25">
            <v>0.92210850744480499</v>
          </cell>
          <cell r="H25">
            <v>0.96077571442878729</v>
          </cell>
        </row>
        <row r="26">
          <cell r="B26">
            <v>75</v>
          </cell>
          <cell r="D26">
            <v>73.199573322848806</v>
          </cell>
          <cell r="E26">
            <v>-22.482459864731702</v>
          </cell>
          <cell r="G26">
            <v>0.91159998451990953</v>
          </cell>
          <cell r="H26">
            <v>0.95592749751702544</v>
          </cell>
        </row>
        <row r="27">
          <cell r="B27">
            <v>80</v>
          </cell>
          <cell r="D27">
            <v>71.948063016408994</v>
          </cell>
          <cell r="E27">
            <v>-23.397494836978598</v>
          </cell>
          <cell r="G27">
            <v>0.90067738243539164</v>
          </cell>
          <cell r="H27">
            <v>0.95097820420798207</v>
          </cell>
        </row>
        <row r="28">
          <cell r="B28">
            <v>85</v>
          </cell>
          <cell r="D28">
            <v>70.671478111507497</v>
          </cell>
          <cell r="E28">
            <v>-24.226534925024399</v>
          </cell>
          <cell r="G28">
            <v>0.88938872458617291</v>
          </cell>
          <cell r="H28">
            <v>0.94596108216522956</v>
          </cell>
        </row>
        <row r="29">
          <cell r="B29">
            <v>90</v>
          </cell>
          <cell r="D29">
            <v>69.376540829253898</v>
          </cell>
          <cell r="E29">
            <v>-24.9707079325695</v>
          </cell>
          <cell r="G29">
            <v>0.87778070237591332</v>
          </cell>
          <cell r="H29">
            <v>0.94090835912972781</v>
          </cell>
        </row>
        <row r="30">
          <cell r="B30">
            <v>95</v>
          </cell>
          <cell r="D30">
            <v>68.0695556814469</v>
          </cell>
          <cell r="E30">
            <v>-25.631678071794202</v>
          </cell>
          <cell r="G30">
            <v>0.86589834888496819</v>
          </cell>
          <cell r="H30">
            <v>0.9358510203813899</v>
          </cell>
        </row>
        <row r="31">
          <cell r="B31">
            <v>100</v>
          </cell>
          <cell r="D31">
            <v>66.756377225229301</v>
          </cell>
          <cell r="E31">
            <v>-26.211568392211099</v>
          </cell>
          <cell r="G31">
            <v>0.85378477590556889</v>
          </cell>
          <cell r="H31">
            <v>0.93081863125036934</v>
          </cell>
        </row>
        <row r="32">
          <cell r="B32">
            <v>105</v>
          </cell>
          <cell r="D32">
            <v>65.442389991720404</v>
          </cell>
          <cell r="E32">
            <v>-26.712884939330198</v>
          </cell>
          <cell r="G32">
            <v>0.8414809714336442</v>
          </cell>
          <cell r="H32">
            <v>0.92583920228484884</v>
          </cell>
        </row>
        <row r="33">
          <cell r="B33">
            <v>110</v>
          </cell>
          <cell r="D33">
            <v>64.132499257635502</v>
          </cell>
          <cell r="E33">
            <v>-27.138444232621602</v>
          </cell>
          <cell r="G33">
            <v>0.82902565344503865</v>
          </cell>
          <cell r="H33">
            <v>0.92093909379860506</v>
          </cell>
        </row>
        <row r="34">
          <cell r="B34">
            <v>115</v>
          </cell>
          <cell r="D34">
            <v>62.831131213293197</v>
          </cell>
          <cell r="E34">
            <v>-27.491305275169999</v>
          </cell>
          <cell r="G34">
            <v>0.81645517489834685</v>
          </cell>
          <cell r="H34">
            <v>0.91614295591210892</v>
          </cell>
        </row>
        <row r="35">
          <cell r="B35">
            <v>120</v>
          </cell>
          <cell r="D35">
            <v>61.542241044460503</v>
          </cell>
          <cell r="E35">
            <v>-27.774706954826001</v>
          </cell>
          <cell r="G35">
            <v>0.80380347436233346</v>
          </cell>
          <cell r="H35">
            <v>0.91147369983811555</v>
          </cell>
        </row>
        <row r="36">
          <cell r="B36">
            <v>125</v>
          </cell>
          <cell r="D36">
            <v>60.269327473873503</v>
          </cell>
          <cell r="E36">
            <v>-27.992011380352601</v>
          </cell>
          <cell r="G36">
            <v>0.79110206641652192</v>
          </cell>
          <cell r="H36">
            <v>0.90695249601184047</v>
          </cell>
        </row>
        <row r="37">
          <cell r="B37">
            <v>130</v>
          </cell>
          <cell r="D37">
            <v>59.0154523856406</v>
          </cell>
          <cell r="E37">
            <v>-28.146653422995801</v>
          </cell>
          <cell r="G37">
            <v>0.77838006596838449</v>
          </cell>
          <cell r="H37">
            <v>0.90259879468881532</v>
          </cell>
        </row>
        <row r="38">
          <cell r="B38">
            <v>135</v>
          </cell>
          <cell r="D38">
            <v>57.783264267618897</v>
          </cell>
          <cell r="E38">
            <v>-28.2420965069219</v>
          </cell>
          <cell r="G38">
            <v>0.76566424081749729</v>
          </cell>
          <cell r="H38">
            <v>0.89843036479211158</v>
          </cell>
        </row>
        <row r="39">
          <cell r="B39">
            <v>140</v>
          </cell>
          <cell r="D39">
            <v>56.575024340459997</v>
          </cell>
          <cell r="E39">
            <v>-28.281794510739498</v>
          </cell>
          <cell r="G39">
            <v>0.7529790871270593</v>
          </cell>
          <cell r="H39">
            <v>0.8944633470486224</v>
          </cell>
        </row>
        <row r="40">
          <cell r="B40">
            <v>145</v>
          </cell>
          <cell r="D40">
            <v>55.392634386569497</v>
          </cell>
          <cell r="E40">
            <v>-28.269159504159401</v>
          </cell>
          <cell r="G40">
            <v>0.74034692289171289</v>
          </cell>
          <cell r="H40">
            <v>0.89071231777928195</v>
          </cell>
        </row>
        <row r="41">
          <cell r="B41">
            <v>150</v>
          </cell>
          <cell r="D41">
            <v>54.237665439083599</v>
          </cell>
          <cell r="E41">
            <v>-28.207534944543699</v>
          </cell>
          <cell r="G41">
            <v>0.72778799497950197</v>
          </cell>
          <cell r="H41">
            <v>0.88719036007266017</v>
          </cell>
        </row>
        <row r="42">
          <cell r="B42">
            <v>155</v>
          </cell>
          <cell r="D42">
            <v>53.111386633571399</v>
          </cell>
          <cell r="E42">
            <v>-28.100173892544301</v>
          </cell>
          <cell r="G42">
            <v>0.71532059584307539</v>
          </cell>
          <cell r="H42">
            <v>0.88390913945266658</v>
          </cell>
        </row>
        <row r="43">
          <cell r="B43">
            <v>160</v>
          </cell>
          <cell r="D43">
            <v>52.014793658868697</v>
          </cell>
          <cell r="E43">
            <v>-27.950221768819802</v>
          </cell>
          <cell r="G43">
            <v>0.70296118651591244</v>
          </cell>
          <cell r="H43">
            <v>0.88087898153127164</v>
          </cell>
        </row>
        <row r="44">
          <cell r="B44">
            <v>165</v>
          </cell>
          <cell r="D44">
            <v>50.9486363652085</v>
          </cell>
          <cell r="E44">
            <v>-27.7607031595808</v>
          </cell>
          <cell r="G44">
            <v>0.6907245230143465</v>
          </cell>
          <cell r="H44">
            <v>0.87810894950301832</v>
          </cell>
        </row>
        <row r="45">
          <cell r="B45">
            <v>170</v>
          </cell>
          <cell r="D45">
            <v>49.913445195920197</v>
          </cell>
          <cell r="E45">
            <v>-27.5345121824374</v>
          </cell>
          <cell r="G45">
            <v>0.67862378374164334</v>
          </cell>
          <cell r="H45">
            <v>0.87560691968030235</v>
          </cell>
        </row>
        <row r="46">
          <cell r="B46">
            <v>175</v>
          </cell>
          <cell r="D46">
            <v>48.909556202815303</v>
          </cell>
          <cell r="E46">
            <v>-27.274405941203199</v>
          </cell>
          <cell r="G46">
            <v>0.66667069592765049</v>
          </cell>
          <cell r="H46">
            <v>0.87337965358128711</v>
          </cell>
        </row>
        <row r="47">
          <cell r="B47">
            <v>180</v>
          </cell>
          <cell r="D47">
            <v>47.937134485086801</v>
          </cell>
          <cell r="E47">
            <v>-26.9830006250609</v>
          </cell>
          <cell r="G47">
            <v>0.65487565953113136</v>
          </cell>
          <cell r="H47">
            <v>0.87143286536271181</v>
          </cell>
        </row>
        <row r="48">
          <cell r="B48">
            <v>185</v>
          </cell>
          <cell r="D48">
            <v>46.996195957849103</v>
          </cell>
          <cell r="E48">
            <v>-26.662769840538701</v>
          </cell>
          <cell r="G48">
            <v>0.64324786737976725</v>
          </cell>
          <cell r="H48">
            <v>0.86977128363710043</v>
          </cell>
        </row>
        <row r="49">
          <cell r="B49">
            <v>190</v>
          </cell>
          <cell r="D49">
            <v>46.086627410384096</v>
          </cell>
          <cell r="E49">
            <v>-26.3160448014374</v>
          </cell>
          <cell r="G49">
            <v>0.63179542062483285</v>
          </cell>
          <cell r="H49">
            <v>0.86839870692872756</v>
          </cell>
        </row>
        <row r="50">
          <cell r="B50">
            <v>195</v>
          </cell>
          <cell r="D50">
            <v>45.208204857039703</v>
          </cell>
          <cell r="E50">
            <v>-25.945016040085399</v>
          </cell>
          <cell r="G50">
            <v>0.62052543884564937</v>
          </cell>
          <cell r="H50">
            <v>0.86731805220741232</v>
          </cell>
        </row>
        <row r="51">
          <cell r="B51">
            <v>200</v>
          </cell>
          <cell r="D51">
            <v>44.360610216881298</v>
          </cell>
          <cell r="E51">
            <v>-25.551736341493601</v>
          </cell>
          <cell r="G51">
            <v>0.60944416435553628</v>
          </cell>
          <cell r="H51">
            <v>0.86653139609658625</v>
          </cell>
        </row>
        <row r="52">
          <cell r="B52">
            <v>205</v>
          </cell>
          <cell r="D52">
            <v>43.543446383030897</v>
          </cell>
          <cell r="E52">
            <v>-25.138124638962299</v>
          </cell>
          <cell r="G52">
            <v>0.59855706044001533</v>
          </cell>
          <cell r="H52">
            <v>0.86604000848587093</v>
          </cell>
        </row>
        <row r="53">
          <cell r="B53">
            <v>210</v>
          </cell>
          <cell r="D53">
            <v>42.7562507604164</v>
          </cell>
          <cell r="E53">
            <v>-24.705970644651401</v>
          </cell>
          <cell r="G53">
            <v>0.58786890340291842</v>
          </cell>
          <cell r="H53">
            <v>0.86584437839228212</v>
          </cell>
        </row>
        <row r="54">
          <cell r="B54">
            <v>215</v>
          </cell>
          <cell r="D54">
            <v>41.998507362622298</v>
          </cell>
          <cell r="E54">
            <v>-24.2569400210383</v>
          </cell>
          <cell r="G54">
            <v>0.57738386841095857</v>
          </cell>
          <cell r="H54">
            <v>0.86594423201228254</v>
          </cell>
        </row>
        <row r="55">
          <cell r="B55">
            <v>220</v>
          </cell>
          <cell r="D55">
            <v>41.269657565769499</v>
          </cell>
          <cell r="E55">
            <v>-23.792579928758698</v>
          </cell>
          <cell r="G55">
            <v>0.56710560921603193</v>
          </cell>
          <cell r="H55">
            <v>0.86633854299329438</v>
          </cell>
        </row>
        <row r="56">
          <cell r="B56">
            <v>225</v>
          </cell>
          <cell r="D56">
            <v>40.5691096208148</v>
          </cell>
          <cell r="E56">
            <v>-23.314324812939802</v>
          </cell>
          <cell r="G56">
            <v>0.55703733190073246</v>
          </cell>
          <cell r="H56">
            <v>0.86702553503191993</v>
          </cell>
        </row>
        <row r="57">
          <cell r="B57">
            <v>230</v>
          </cell>
          <cell r="D57">
            <v>39.896247026167401</v>
          </cell>
          <cell r="E57">
            <v>-22.823502313792201</v>
          </cell>
          <cell r="G57">
            <v>0.54718186283949521</v>
          </cell>
          <cell r="H57">
            <v>0.86800267698091937</v>
          </cell>
        </row>
        <row r="58">
          <cell r="B58">
            <v>235</v>
          </cell>
          <cell r="D58">
            <v>39.250435860808501</v>
          </cell>
          <cell r="E58">
            <v>-22.3213392080362</v>
          </cell>
          <cell r="G58">
            <v>0.53754171109891846</v>
          </cell>
          <cell r="H58">
            <v>0.86926667072179464</v>
          </cell>
        </row>
        <row r="59">
          <cell r="B59">
            <v>240</v>
          </cell>
          <cell r="D59">
            <v>38.6310311746997</v>
          </cell>
          <cell r="E59">
            <v>-21.808967305855099</v>
          </cell>
          <cell r="G59">
            <v>0.52811912551825158</v>
          </cell>
          <cell r="H59">
            <v>0.87081343213793683</v>
          </cell>
        </row>
        <row r="60">
          <cell r="B60">
            <v>245</v>
          </cell>
          <cell r="D60">
            <v>38.037382528729403</v>
          </cell>
          <cell r="E60">
            <v>-21.287429243702199</v>
          </cell>
          <cell r="G60">
            <v>0.51891614671796416</v>
          </cell>
          <cell r="H60">
            <v>0.87263806560829393</v>
          </cell>
        </row>
        <row r="61">
          <cell r="B61">
            <v>250</v>
          </cell>
          <cell r="D61">
            <v>37.468838771105503</v>
          </cell>
          <cell r="E61">
            <v>-20.757684126649998</v>
          </cell>
          <cell r="G61">
            <v>0.50993465428217299</v>
          </cell>
          <cell r="H61">
            <v>0.87473483253620199</v>
          </cell>
        </row>
        <row r="62">
          <cell r="B62">
            <v>255</v>
          </cell>
          <cell r="D62">
            <v>36.9247521313033</v>
          </cell>
          <cell r="E62">
            <v>-20.220612985302399</v>
          </cell>
          <cell r="G62">
            <v>0.50117640935179197</v>
          </cell>
          <cell r="H62">
            <v>0.87709711453509309</v>
          </cell>
        </row>
        <row r="63">
          <cell r="B63">
            <v>260</v>
          </cell>
          <cell r="D63">
            <v>36.404481706660498</v>
          </cell>
          <cell r="E63">
            <v>-19.6770240218111</v>
          </cell>
          <cell r="G63">
            <v>0.49264309285108981</v>
          </cell>
          <cell r="H63">
            <v>0.87971737201449496</v>
          </cell>
        </row>
        <row r="64">
          <cell r="B64">
            <v>265</v>
          </cell>
          <cell r="D64">
            <v>35.907396410642001</v>
          </cell>
          <cell r="E64">
            <v>-19.127657627461499</v>
          </cell>
          <cell r="G64">
            <v>0.48433633955208272</v>
          </cell>
          <cell r="H64">
            <v>0.88258709904757771</v>
          </cell>
        </row>
        <row r="65">
          <cell r="B65">
            <v>270</v>
          </cell>
          <cell r="D65">
            <v>35.432877445847403</v>
          </cell>
          <cell r="E65">
            <v>-18.573191160837599</v>
          </cell>
          <cell r="G65">
            <v>0.47625776816047816</v>
          </cell>
          <cell r="H65">
            <v>0.88569677555639681</v>
          </cell>
        </row>
        <row r="66">
          <cell r="B66">
            <v>275</v>
          </cell>
          <cell r="D66">
            <v>34.980320359078199</v>
          </cell>
          <cell r="E66">
            <v>-18.014243480910999</v>
          </cell>
          <cell r="G66">
            <v>0.46840900758443638</v>
          </cell>
          <cell r="H66">
            <v>0.88903581802289411</v>
          </cell>
        </row>
        <row r="67">
          <cell r="B67">
            <v>280</v>
          </cell>
          <cell r="D67">
            <v>34.5491367303093</v>
          </cell>
          <cell r="E67">
            <v>-17.4513792337107</v>
          </cell>
          <cell r="G67">
            <v>0.46079171952452558</v>
          </cell>
          <cell r="H67">
            <v>0.89259253012142081</v>
          </cell>
        </row>
        <row r="68">
          <cell r="B68">
            <v>285</v>
          </cell>
          <cell r="D68">
            <v>34.138755542251602</v>
          </cell>
          <cell r="E68">
            <v>-16.885112894659802</v>
          </cell>
          <cell r="G68">
            <v>0.45340761750060077</v>
          </cell>
          <cell r="H68">
            <v>0.89635405486948572</v>
          </cell>
        </row>
        <row r="69">
          <cell r="B69">
            <v>290</v>
          </cell>
          <cell r="D69">
            <v>33.748624272389797</v>
          </cell>
          <cell r="E69">
            <v>-16.315912571357899</v>
          </cell>
          <cell r="G69">
            <v>0.44625848241001864</v>
          </cell>
          <cell r="H69">
            <v>0.90030633010338301</v>
          </cell>
        </row>
        <row r="70">
          <cell r="B70">
            <v>295</v>
          </cell>
          <cell r="D70">
            <v>33.378209744933102</v>
          </cell>
          <cell r="E70">
            <v>-15.744203573653101</v>
          </cell>
          <cell r="G70">
            <v>0.43934617469229048</v>
          </cell>
          <cell r="H70">
            <v>0.9044340492982218</v>
          </cell>
        </row>
        <row r="71">
          <cell r="B71">
            <v>300</v>
          </cell>
          <cell r="D71">
            <v>33.026998776032201</v>
          </cell>
          <cell r="E71">
            <v>-15.1703717593959</v>
          </cell>
          <cell r="G71">
            <v>0.4326726431588695</v>
          </cell>
          <cell r="H71">
            <v>0.90872062995939928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zoomScaleNormal="100" workbookViewId="0">
      <selection activeCell="K5" sqref="K5"/>
    </sheetView>
  </sheetViews>
  <sheetFormatPr baseColWidth="10" defaultColWidth="10.33203125" defaultRowHeight="16" x14ac:dyDescent="0.2"/>
  <cols>
    <col min="1" max="4" width="10.83203125" style="1" customWidth="1"/>
  </cols>
  <sheetData>
    <row r="1" spans="1:10" x14ac:dyDescent="0.2">
      <c r="A1" s="2" t="s">
        <v>0</v>
      </c>
      <c r="B1" s="3"/>
      <c r="C1" s="3"/>
      <c r="D1" s="4" t="s">
        <v>1</v>
      </c>
      <c r="E1" s="5"/>
      <c r="F1" s="5">
        <f>2*3.142*50*F2/1000</f>
        <v>0.31419999999999998</v>
      </c>
      <c r="G1" s="5" t="s">
        <v>2</v>
      </c>
      <c r="H1" s="6" t="s">
        <v>3</v>
      </c>
      <c r="I1" s="7">
        <v>45</v>
      </c>
      <c r="J1" s="8" t="s">
        <v>4</v>
      </c>
    </row>
    <row r="2" spans="1:10" x14ac:dyDescent="0.2">
      <c r="A2" s="9" t="s">
        <v>5</v>
      </c>
      <c r="D2" s="10" t="s">
        <v>6</v>
      </c>
      <c r="F2">
        <v>1</v>
      </c>
      <c r="G2" t="s">
        <v>7</v>
      </c>
      <c r="I2">
        <f>I1*2*3.142/360</f>
        <v>0.78549999999999998</v>
      </c>
      <c r="J2" s="11" t="s">
        <v>8</v>
      </c>
    </row>
    <row r="3" spans="1:10" x14ac:dyDescent="0.2">
      <c r="A3" s="12"/>
      <c r="B3" s="13"/>
      <c r="C3" s="13"/>
      <c r="D3" s="14" t="s">
        <v>9</v>
      </c>
      <c r="E3" s="15"/>
      <c r="F3" s="15"/>
      <c r="G3" s="15"/>
      <c r="H3" s="15"/>
      <c r="I3" s="15"/>
      <c r="J3" s="16"/>
    </row>
    <row r="4" spans="1:10" x14ac:dyDescent="0.2">
      <c r="D4" s="10"/>
    </row>
    <row r="5" spans="1:10" x14ac:dyDescent="0.2">
      <c r="A5" s="1" t="s">
        <v>10</v>
      </c>
      <c r="B5" s="1" t="s">
        <v>11</v>
      </c>
      <c r="C5" s="1" t="s">
        <v>12</v>
      </c>
      <c r="D5" s="1" t="s">
        <v>13</v>
      </c>
      <c r="E5" s="1" t="s">
        <v>14</v>
      </c>
      <c r="F5" s="17">
        <f>SUM($D$6:$D$66)/60</f>
        <v>0.35348761732043299</v>
      </c>
    </row>
    <row r="6" spans="1:10" x14ac:dyDescent="0.2">
      <c r="A6" s="1">
        <v>0</v>
      </c>
      <c r="B6" s="18">
        <f t="shared" ref="B6:B37" si="0">SIN($F$1*A6)</f>
        <v>0</v>
      </c>
      <c r="C6" s="18">
        <f t="shared" ref="C6:C37" si="1">SIN($F$1*A6+$I$2)</f>
        <v>0.70717878687206648</v>
      </c>
      <c r="D6" s="18">
        <f t="shared" ref="D6:D37" si="2">B6*C6</f>
        <v>0</v>
      </c>
      <c r="E6" s="18">
        <f t="shared" ref="E6:E37" si="3">$F$5</f>
        <v>0.35348761732043299</v>
      </c>
    </row>
    <row r="7" spans="1:10" x14ac:dyDescent="0.2">
      <c r="A7" s="1">
        <v>1</v>
      </c>
      <c r="B7" s="18">
        <f t="shared" si="0"/>
        <v>0.3090557350643407</v>
      </c>
      <c r="C7" s="18">
        <f t="shared" si="1"/>
        <v>0.89107124112271785</v>
      </c>
      <c r="D7" s="18">
        <f t="shared" si="2"/>
        <v>0.27539067741987594</v>
      </c>
      <c r="E7" s="18">
        <f t="shared" si="3"/>
        <v>0.35348761732043299</v>
      </c>
    </row>
    <row r="8" spans="1:10" x14ac:dyDescent="0.2">
      <c r="A8" s="1">
        <v>2</v>
      </c>
      <c r="B8" s="18">
        <f t="shared" si="0"/>
        <v>0.58785116037545415</v>
      </c>
      <c r="C8" s="18">
        <f t="shared" si="1"/>
        <v>0.98771699935929091</v>
      </c>
      <c r="D8" s="18">
        <f t="shared" si="2"/>
        <v>0.58063058419592084</v>
      </c>
      <c r="E8" s="18">
        <f t="shared" si="3"/>
        <v>0.35348761732043299</v>
      </c>
    </row>
    <row r="9" spans="1:10" x14ac:dyDescent="0.2">
      <c r="A9" s="1">
        <v>3</v>
      </c>
      <c r="B9" s="18">
        <f t="shared" si="0"/>
        <v>0.80908881799766819</v>
      </c>
      <c r="C9" s="18">
        <f t="shared" si="1"/>
        <v>0.98765326814756749</v>
      </c>
      <c r="D9" s="18">
        <f t="shared" si="2"/>
        <v>0.79909921531704942</v>
      </c>
      <c r="E9" s="18">
        <f t="shared" si="3"/>
        <v>0.35348761732043299</v>
      </c>
    </row>
    <row r="10" spans="1:10" x14ac:dyDescent="0.2">
      <c r="A10" s="1">
        <v>4</v>
      </c>
      <c r="B10" s="18">
        <f t="shared" si="0"/>
        <v>0.95110685445548326</v>
      </c>
      <c r="C10" s="18">
        <f t="shared" si="1"/>
        <v>0.89088628754715138</v>
      </c>
      <c r="D10" s="18">
        <f t="shared" si="2"/>
        <v>0.8473280546264943</v>
      </c>
      <c r="E10" s="18">
        <f t="shared" si="3"/>
        <v>0.35348761732043299</v>
      </c>
    </row>
    <row r="11" spans="1:10" x14ac:dyDescent="0.2">
      <c r="A11" s="1">
        <v>5</v>
      </c>
      <c r="B11" s="18">
        <f t="shared" si="0"/>
        <v>0.99999997925861284</v>
      </c>
      <c r="C11" s="18">
        <f t="shared" si="1"/>
        <v>0.70689072013385135</v>
      </c>
      <c r="D11" s="18">
        <f t="shared" si="2"/>
        <v>0.7068907054719572</v>
      </c>
      <c r="E11" s="18">
        <f t="shared" si="3"/>
        <v>0.35348761732043299</v>
      </c>
    </row>
    <row r="12" spans="1:10" x14ac:dyDescent="0.2">
      <c r="A12" s="1">
        <v>6</v>
      </c>
      <c r="B12" s="18">
        <f t="shared" si="0"/>
        <v>0.95098096171212143</v>
      </c>
      <c r="C12" s="18">
        <f t="shared" si="1"/>
        <v>0.45368196646960246</v>
      </c>
      <c r="D12" s="18">
        <f t="shared" si="2"/>
        <v>0.43144291278470898</v>
      </c>
      <c r="E12" s="18">
        <f t="shared" si="3"/>
        <v>0.35348761732043299</v>
      </c>
    </row>
    <row r="13" spans="1:10" x14ac:dyDescent="0.2">
      <c r="A13" s="1">
        <v>7</v>
      </c>
      <c r="B13" s="18">
        <f t="shared" si="0"/>
        <v>0.80884935893940912</v>
      </c>
      <c r="C13" s="18">
        <f t="shared" si="1"/>
        <v>0.15605223860157288</v>
      </c>
      <c r="D13" s="18">
        <f t="shared" si="2"/>
        <v>0.12622275315394194</v>
      </c>
      <c r="E13" s="18">
        <f t="shared" si="3"/>
        <v>0.35348761732043299</v>
      </c>
    </row>
    <row r="14" spans="1:10" x14ac:dyDescent="0.2">
      <c r="A14" s="1">
        <v>8</v>
      </c>
      <c r="B14" s="18">
        <f t="shared" si="0"/>
        <v>0.5875215809521831</v>
      </c>
      <c r="C14" s="18">
        <f t="shared" si="1"/>
        <v>-0.15685689858330709</v>
      </c>
      <c r="D14" s="18">
        <f t="shared" si="2"/>
        <v>-9.2156813038920829E-2</v>
      </c>
      <c r="E14" s="18">
        <f t="shared" si="3"/>
        <v>0.35348761732043299</v>
      </c>
    </row>
    <row r="15" spans="1:10" x14ac:dyDescent="0.2">
      <c r="A15" s="1">
        <v>9</v>
      </c>
      <c r="B15" s="18">
        <f t="shared" si="0"/>
        <v>0.30866830510413396</v>
      </c>
      <c r="C15" s="18">
        <f t="shared" si="1"/>
        <v>-0.45440784046702792</v>
      </c>
      <c r="D15" s="18">
        <f t="shared" si="2"/>
        <v>-0.1402612979429872</v>
      </c>
      <c r="E15" s="18">
        <f t="shared" si="3"/>
        <v>0.35348761732043299</v>
      </c>
    </row>
    <row r="16" spans="1:10" x14ac:dyDescent="0.2">
      <c r="A16" s="1">
        <v>10</v>
      </c>
      <c r="B16" s="18">
        <f t="shared" si="0"/>
        <v>-4.0734639894142617E-4</v>
      </c>
      <c r="C16" s="18">
        <f t="shared" si="1"/>
        <v>-0.70746673626733048</v>
      </c>
      <c r="D16" s="18">
        <f t="shared" si="2"/>
        <v>2.8818402738934072E-4</v>
      </c>
      <c r="E16" s="18">
        <f t="shared" si="3"/>
        <v>0.35348761732043299</v>
      </c>
    </row>
    <row r="17" spans="1:5" x14ac:dyDescent="0.2">
      <c r="A17" s="1">
        <v>11</v>
      </c>
      <c r="B17" s="18">
        <f t="shared" si="0"/>
        <v>-0.30944311374259081</v>
      </c>
      <c r="C17" s="18">
        <f t="shared" si="1"/>
        <v>-0.89125604684185711</v>
      </c>
      <c r="D17" s="18">
        <f t="shared" si="2"/>
        <v>0.27579304627665663</v>
      </c>
      <c r="E17" s="18">
        <f t="shared" si="3"/>
        <v>0.35348761732043299</v>
      </c>
    </row>
    <row r="18" spans="1:5" x14ac:dyDescent="0.2">
      <c r="A18" s="1">
        <v>12</v>
      </c>
      <c r="B18" s="18">
        <f t="shared" si="0"/>
        <v>-0.5881806422559378</v>
      </c>
      <c r="C18" s="18">
        <f t="shared" si="1"/>
        <v>-0.98778056667805036</v>
      </c>
      <c r="D18" s="18">
        <f t="shared" si="2"/>
        <v>0.58099340811662981</v>
      </c>
      <c r="E18" s="18">
        <f t="shared" si="3"/>
        <v>0.35348761732043299</v>
      </c>
    </row>
    <row r="19" spans="1:5" x14ac:dyDescent="0.2">
      <c r="A19" s="1">
        <v>13</v>
      </c>
      <c r="B19" s="18">
        <f t="shared" si="0"/>
        <v>-0.80932814280293353</v>
      </c>
      <c r="C19" s="18">
        <f t="shared" si="1"/>
        <v>-0.98758937305345518</v>
      </c>
      <c r="D19" s="18">
        <f t="shared" si="2"/>
        <v>0.79928387314526639</v>
      </c>
      <c r="E19" s="18">
        <f t="shared" si="3"/>
        <v>0.35348761732043299</v>
      </c>
    </row>
    <row r="20" spans="1:5" x14ac:dyDescent="0.2">
      <c r="A20" s="1">
        <v>14</v>
      </c>
      <c r="B20" s="18">
        <f t="shared" si="0"/>
        <v>-0.95123258938064259</v>
      </c>
      <c r="C20" s="18">
        <f t="shared" si="1"/>
        <v>-0.89070118614584737</v>
      </c>
      <c r="D20" s="18">
        <f t="shared" si="2"/>
        <v>0.84726399566192412</v>
      </c>
      <c r="E20" s="18">
        <f t="shared" si="3"/>
        <v>0.35348761732043299</v>
      </c>
    </row>
    <row r="21" spans="1:5" x14ac:dyDescent="0.2">
      <c r="A21" s="1">
        <v>15</v>
      </c>
      <c r="B21" s="18">
        <f t="shared" si="0"/>
        <v>-0.99999981332752064</v>
      </c>
      <c r="C21" s="18">
        <f t="shared" si="1"/>
        <v>-0.70660253610048473</v>
      </c>
      <c r="D21" s="18">
        <f t="shared" si="2"/>
        <v>0.70660240419723741</v>
      </c>
      <c r="E21" s="18">
        <f t="shared" si="3"/>
        <v>0.35348761732043299</v>
      </c>
    </row>
    <row r="22" spans="1:5" x14ac:dyDescent="0.2">
      <c r="A22" s="1">
        <v>16</v>
      </c>
      <c r="B22" s="18">
        <f t="shared" si="0"/>
        <v>-0.95085491117144672</v>
      </c>
      <c r="C22" s="18">
        <f t="shared" si="1"/>
        <v>-0.45331891652085649</v>
      </c>
      <c r="D22" s="18">
        <f t="shared" si="2"/>
        <v>0.43104051810077548</v>
      </c>
      <c r="E22" s="18">
        <f t="shared" si="3"/>
        <v>0.35348761732043299</v>
      </c>
    </row>
    <row r="23" spans="1:5" x14ac:dyDescent="0.2">
      <c r="A23" s="1">
        <v>17</v>
      </c>
      <c r="B23" s="18">
        <f t="shared" si="0"/>
        <v>-0.80860976566788989</v>
      </c>
      <c r="C23" s="18">
        <f t="shared" si="1"/>
        <v>-0.15564986973644701</v>
      </c>
      <c r="D23" s="18">
        <f t="shared" si="2"/>
        <v>0.12586000469382599</v>
      </c>
      <c r="E23" s="18">
        <f t="shared" si="3"/>
        <v>0.35348761732043299</v>
      </c>
    </row>
    <row r="24" spans="1:5" x14ac:dyDescent="0.2">
      <c r="A24" s="1">
        <v>18</v>
      </c>
      <c r="B24" s="18">
        <f t="shared" si="0"/>
        <v>-0.58719190404081245</v>
      </c>
      <c r="C24" s="18">
        <f t="shared" si="1"/>
        <v>0.15725918956639728</v>
      </c>
      <c r="D24" s="18">
        <f t="shared" si="2"/>
        <v>-9.2341322949407889E-2</v>
      </c>
      <c r="E24" s="18">
        <f t="shared" si="3"/>
        <v>0.35348761732043299</v>
      </c>
    </row>
    <row r="25" spans="1:5" x14ac:dyDescent="0.2">
      <c r="A25" s="1">
        <v>19</v>
      </c>
      <c r="B25" s="18">
        <f t="shared" si="0"/>
        <v>-0.30828082392625755</v>
      </c>
      <c r="C25" s="18">
        <f t="shared" si="1"/>
        <v>0.45477066439526237</v>
      </c>
      <c r="D25" s="18">
        <f t="shared" si="2"/>
        <v>-0.14019707511726304</v>
      </c>
      <c r="E25" s="18">
        <f t="shared" si="3"/>
        <v>0.35348761732043299</v>
      </c>
    </row>
    <row r="26" spans="1:5" x14ac:dyDescent="0.2">
      <c r="A26" s="1">
        <v>20</v>
      </c>
      <c r="B26" s="18">
        <f t="shared" si="0"/>
        <v>8.1469273029141805E-4</v>
      </c>
      <c r="C26" s="18">
        <f t="shared" si="1"/>
        <v>0.70775456827186389</v>
      </c>
      <c r="D26" s="18">
        <f t="shared" si="2"/>
        <v>5.7660250160162867E-4</v>
      </c>
      <c r="E26" s="18">
        <f t="shared" si="3"/>
        <v>0.35348761732043299</v>
      </c>
    </row>
    <row r="27" spans="1:5" x14ac:dyDescent="0.2">
      <c r="A27" s="1">
        <v>21</v>
      </c>
      <c r="B27" s="18">
        <f t="shared" si="0"/>
        <v>0.30983044107460556</v>
      </c>
      <c r="C27" s="18">
        <f t="shared" si="1"/>
        <v>0.89144070467390379</v>
      </c>
      <c r="D27" s="18">
        <f t="shared" si="2"/>
        <v>0.27619546672097278</v>
      </c>
      <c r="E27" s="18">
        <f t="shared" si="3"/>
        <v>0.35348761732043299</v>
      </c>
    </row>
    <row r="28" spans="1:5" x14ac:dyDescent="0.2">
      <c r="A28" s="1">
        <v>22</v>
      </c>
      <c r="B28" s="18">
        <f t="shared" si="0"/>
        <v>0.58851002653896378</v>
      </c>
      <c r="C28" s="18">
        <f t="shared" si="1"/>
        <v>0.98784397009329838</v>
      </c>
      <c r="D28" s="18">
        <f t="shared" si="2"/>
        <v>0.58135608105596237</v>
      </c>
      <c r="E28" s="18">
        <f t="shared" si="3"/>
        <v>0.35348761732043299</v>
      </c>
    </row>
    <row r="29" spans="1:5" x14ac:dyDescent="0.2">
      <c r="A29" s="1">
        <v>23</v>
      </c>
      <c r="B29" s="18">
        <f t="shared" si="0"/>
        <v>0.80956733331549302</v>
      </c>
      <c r="C29" s="18">
        <f t="shared" si="1"/>
        <v>0.98752531408755606</v>
      </c>
      <c r="D29" s="18">
        <f t="shared" si="2"/>
        <v>0.79946823510740739</v>
      </c>
      <c r="E29" s="18">
        <f t="shared" si="3"/>
        <v>0.35348761732043299</v>
      </c>
    </row>
    <row r="30" spans="1:5" x14ac:dyDescent="0.2">
      <c r="A30" s="1">
        <v>24</v>
      </c>
      <c r="B30" s="18">
        <f t="shared" si="0"/>
        <v>0.95135816646673621</v>
      </c>
      <c r="C30" s="18">
        <f t="shared" si="1"/>
        <v>0.89051593694951925</v>
      </c>
      <c r="D30" s="18">
        <f t="shared" si="2"/>
        <v>0.84719960898570235</v>
      </c>
      <c r="E30" s="18">
        <f t="shared" si="3"/>
        <v>0.35348761732043299</v>
      </c>
    </row>
    <row r="31" spans="1:5" x14ac:dyDescent="0.2">
      <c r="A31" s="1">
        <v>25</v>
      </c>
      <c r="B31" s="18">
        <f t="shared" si="0"/>
        <v>0.99999948146536388</v>
      </c>
      <c r="C31" s="18">
        <f t="shared" si="1"/>
        <v>0.70631423481978539</v>
      </c>
      <c r="D31" s="18">
        <f t="shared" si="2"/>
        <v>0.70631386857139067</v>
      </c>
      <c r="E31" s="18">
        <f t="shared" si="3"/>
        <v>0.35348761732043299</v>
      </c>
    </row>
    <row r="32" spans="1:5" x14ac:dyDescent="0.2">
      <c r="A32" s="1">
        <v>26</v>
      </c>
      <c r="B32" s="18">
        <f t="shared" si="0"/>
        <v>0.95072870285437472</v>
      </c>
      <c r="C32" s="18">
        <f t="shared" si="1"/>
        <v>0.45295579135240488</v>
      </c>
      <c r="D32" s="18">
        <f t="shared" si="2"/>
        <v>0.4306380719628487</v>
      </c>
      <c r="E32" s="18">
        <f t="shared" si="3"/>
        <v>0.35348761732043299</v>
      </c>
    </row>
    <row r="33" spans="1:5" x14ac:dyDescent="0.2">
      <c r="A33" s="1">
        <v>27</v>
      </c>
      <c r="B33" s="18">
        <f t="shared" si="0"/>
        <v>0.80837003822286579</v>
      </c>
      <c r="C33" s="18">
        <f t="shared" si="1"/>
        <v>0.15524747504416594</v>
      </c>
      <c r="D33" s="18">
        <f t="shared" si="2"/>
        <v>0.12549740733545584</v>
      </c>
      <c r="E33" s="18">
        <f t="shared" si="3"/>
        <v>0.35348761732043299</v>
      </c>
    </row>
    <row r="34" spans="1:5" x14ac:dyDescent="0.2">
      <c r="A34" s="1">
        <v>28</v>
      </c>
      <c r="B34" s="18">
        <f t="shared" si="0"/>
        <v>0.58686212969604612</v>
      </c>
      <c r="C34" s="18">
        <f t="shared" si="1"/>
        <v>-0.15766145445529833</v>
      </c>
      <c r="D34" s="18">
        <f t="shared" si="2"/>
        <v>-9.2525536932612562E-2</v>
      </c>
      <c r="E34" s="18">
        <f t="shared" si="3"/>
        <v>0.35348761732043299</v>
      </c>
    </row>
    <row r="35" spans="1:5" x14ac:dyDescent="0.2">
      <c r="A35" s="1">
        <v>29</v>
      </c>
      <c r="B35" s="18">
        <f t="shared" si="0"/>
        <v>0.30789329159500628</v>
      </c>
      <c r="C35" s="18">
        <f t="shared" si="1"/>
        <v>-0.45513341286290299</v>
      </c>
      <c r="D35" s="18">
        <f t="shared" si="2"/>
        <v>-0.14013252460122816</v>
      </c>
      <c r="E35" s="18">
        <f t="shared" si="3"/>
        <v>0.35348761732043299</v>
      </c>
    </row>
    <row r="36" spans="1:5" x14ac:dyDescent="0.2">
      <c r="A36" s="1">
        <v>30</v>
      </c>
      <c r="B36" s="18">
        <f t="shared" si="0"/>
        <v>-1.2220389264589967E-3</v>
      </c>
      <c r="C36" s="18">
        <f t="shared" si="1"/>
        <v>-0.70804228283790738</v>
      </c>
      <c r="D36" s="18">
        <f t="shared" si="2"/>
        <v>8.6525523120681367E-4</v>
      </c>
      <c r="E36" s="18">
        <f t="shared" si="3"/>
        <v>0.35348761732043299</v>
      </c>
    </row>
    <row r="37" spans="1:5" x14ac:dyDescent="0.2">
      <c r="A37" s="1">
        <v>31</v>
      </c>
      <c r="B37" s="18">
        <f t="shared" si="0"/>
        <v>-0.31021771699611661</v>
      </c>
      <c r="C37" s="18">
        <f t="shared" si="1"/>
        <v>-0.89162521458821842</v>
      </c>
      <c r="D37" s="18">
        <f t="shared" si="2"/>
        <v>0.27659793848572967</v>
      </c>
      <c r="E37" s="18">
        <f t="shared" si="3"/>
        <v>0.35348761732043299</v>
      </c>
    </row>
    <row r="38" spans="1:5" x14ac:dyDescent="0.2">
      <c r="A38" s="1">
        <v>32</v>
      </c>
      <c r="B38" s="18">
        <f t="shared" ref="B38:B66" si="4">SIN($F$1*A38)</f>
        <v>-0.58883931316987548</v>
      </c>
      <c r="C38" s="18">
        <f t="shared" ref="C38:C66" si="5">SIN($F$1*A38+$I$2)</f>
        <v>-0.98790720959451406</v>
      </c>
      <c r="D38" s="18">
        <f t="shared" ref="D38:D66" si="6">B38*C38</f>
        <v>0.58171860277320186</v>
      </c>
      <c r="E38" s="18">
        <f t="shared" ref="E38:E66" si="7">$F$5</f>
        <v>0.35348761732043299</v>
      </c>
    </row>
    <row r="39" spans="1:5" x14ac:dyDescent="0.2">
      <c r="A39" s="1">
        <v>33</v>
      </c>
      <c r="B39" s="18">
        <f t="shared" si="4"/>
        <v>-0.80980638949565786</v>
      </c>
      <c r="C39" s="18">
        <f t="shared" si="5"/>
        <v>-0.98746109126049986</v>
      </c>
      <c r="D39" s="18">
        <f t="shared" si="6"/>
        <v>0.79965230108110774</v>
      </c>
      <c r="E39" s="18">
        <f t="shared" si="7"/>
        <v>0.35348761732043299</v>
      </c>
    </row>
    <row r="40" spans="1:5" x14ac:dyDescent="0.2">
      <c r="A40" s="1">
        <v>34</v>
      </c>
      <c r="B40" s="18">
        <f t="shared" si="4"/>
        <v>-0.9514835856929269</v>
      </c>
      <c r="C40" s="18">
        <f t="shared" si="5"/>
        <v>-0.89033053998890643</v>
      </c>
      <c r="D40" s="18">
        <f t="shared" si="6"/>
        <v>0.84713489464056457</v>
      </c>
      <c r="E40" s="18">
        <f t="shared" si="7"/>
        <v>0.35348761732043299</v>
      </c>
    </row>
    <row r="41" spans="1:5" x14ac:dyDescent="0.2">
      <c r="A41" s="1">
        <v>35</v>
      </c>
      <c r="B41" s="18">
        <f t="shared" si="4"/>
        <v>-0.99999898367219742</v>
      </c>
      <c r="C41" s="18">
        <f t="shared" si="5"/>
        <v>-0.70602581633958994</v>
      </c>
      <c r="D41" s="18">
        <f t="shared" si="6"/>
        <v>0.70602509878592346</v>
      </c>
      <c r="E41" s="18">
        <f t="shared" si="7"/>
        <v>0.35348761732043299</v>
      </c>
    </row>
    <row r="42" spans="1:5" x14ac:dyDescent="0.2">
      <c r="A42" s="1">
        <v>36</v>
      </c>
      <c r="B42" s="18">
        <f t="shared" si="4"/>
        <v>-0.95060233678184758</v>
      </c>
      <c r="C42" s="18">
        <f t="shared" si="5"/>
        <v>-0.45259259102450411</v>
      </c>
      <c r="D42" s="18">
        <f t="shared" si="6"/>
        <v>0.43023557463804468</v>
      </c>
      <c r="E42" s="18">
        <f t="shared" si="7"/>
        <v>0.35348761732043299</v>
      </c>
    </row>
    <row r="43" spans="1:5" x14ac:dyDescent="0.2">
      <c r="A43" s="1">
        <v>37</v>
      </c>
      <c r="B43" s="18">
        <f t="shared" si="4"/>
        <v>-0.80813017664411613</v>
      </c>
      <c r="C43" s="18">
        <f t="shared" si="5"/>
        <v>-0.15484505459150302</v>
      </c>
      <c r="D43" s="18">
        <f t="shared" si="6"/>
        <v>0.12513496131949914</v>
      </c>
      <c r="E43" s="18">
        <f t="shared" si="7"/>
        <v>0.35348761732043299</v>
      </c>
    </row>
    <row r="44" spans="1:5" x14ac:dyDescent="0.2">
      <c r="A44" s="1">
        <v>38</v>
      </c>
      <c r="B44" s="18">
        <f t="shared" si="4"/>
        <v>-0.58653225797260367</v>
      </c>
      <c r="C44" s="18">
        <f t="shared" si="5"/>
        <v>0.15806369318326063</v>
      </c>
      <c r="D44" s="18">
        <f t="shared" si="6"/>
        <v>-9.2709454866266708E-2</v>
      </c>
      <c r="E44" s="18">
        <f t="shared" si="7"/>
        <v>0.35348761732043299</v>
      </c>
    </row>
    <row r="45" spans="1:5" x14ac:dyDescent="0.2">
      <c r="A45" s="1">
        <v>39</v>
      </c>
      <c r="B45" s="18">
        <f t="shared" si="4"/>
        <v>-0.30750570817468209</v>
      </c>
      <c r="C45" s="18">
        <f t="shared" si="5"/>
        <v>0.45549608580975859</v>
      </c>
      <c r="D45" s="18">
        <f t="shared" si="6"/>
        <v>-0.14006764643772557</v>
      </c>
      <c r="E45" s="18">
        <f t="shared" si="7"/>
        <v>0.35348761732043299</v>
      </c>
    </row>
    <row r="46" spans="1:5" x14ac:dyDescent="0.2">
      <c r="A46" s="1">
        <v>40</v>
      </c>
      <c r="B46" s="18">
        <f t="shared" si="4"/>
        <v>1.6293849198514292E-3</v>
      </c>
      <c r="C46" s="18">
        <f t="shared" si="5"/>
        <v>0.70832987991771779</v>
      </c>
      <c r="D46" s="18">
        <f t="shared" si="6"/>
        <v>1.1541420246181031E-3</v>
      </c>
      <c r="E46" s="18">
        <f t="shared" si="7"/>
        <v>0.35348761732043299</v>
      </c>
    </row>
    <row r="47" spans="1:5" x14ac:dyDescent="0.2">
      <c r="A47" s="1">
        <v>41</v>
      </c>
      <c r="B47" s="18">
        <f t="shared" si="4"/>
        <v>0.31060494144286116</v>
      </c>
      <c r="C47" s="18">
        <f t="shared" si="5"/>
        <v>0.89180957655418358</v>
      </c>
      <c r="D47" s="18">
        <f t="shared" si="6"/>
        <v>0.27700046130379502</v>
      </c>
      <c r="E47" s="18">
        <f t="shared" si="7"/>
        <v>0.35348761732043299</v>
      </c>
    </row>
    <row r="48" spans="1:5" x14ac:dyDescent="0.2">
      <c r="A48" s="1">
        <v>42</v>
      </c>
      <c r="B48" s="18">
        <f t="shared" si="4"/>
        <v>0.58916850209403482</v>
      </c>
      <c r="C48" s="18">
        <f t="shared" si="5"/>
        <v>0.987970285171204</v>
      </c>
      <c r="D48" s="18">
        <f t="shared" si="6"/>
        <v>0.58208097302773465</v>
      </c>
      <c r="E48" s="18">
        <f t="shared" si="7"/>
        <v>0.35348761732043299</v>
      </c>
    </row>
    <row r="49" spans="1:5" x14ac:dyDescent="0.2">
      <c r="A49" s="1">
        <v>43</v>
      </c>
      <c r="B49" s="18">
        <f t="shared" si="4"/>
        <v>0.81004531130376134</v>
      </c>
      <c r="C49" s="18">
        <f t="shared" si="5"/>
        <v>0.98739670458294282</v>
      </c>
      <c r="D49" s="18">
        <f t="shared" si="6"/>
        <v>0.79983607094419795</v>
      </c>
      <c r="E49" s="18">
        <f t="shared" si="7"/>
        <v>0.35348761732043299</v>
      </c>
    </row>
    <row r="50" spans="1:5" x14ac:dyDescent="0.2">
      <c r="A50" s="1">
        <v>44</v>
      </c>
      <c r="B50" s="18">
        <f t="shared" si="4"/>
        <v>0.9516088470384042</v>
      </c>
      <c r="C50" s="18">
        <f t="shared" si="5"/>
        <v>0.89014499529477087</v>
      </c>
      <c r="D50" s="18">
        <f t="shared" si="6"/>
        <v>0.84706985266946266</v>
      </c>
      <c r="E50" s="18">
        <f t="shared" si="7"/>
        <v>0.35348761732043299</v>
      </c>
    </row>
    <row r="51" spans="1:5" x14ac:dyDescent="0.2">
      <c r="A51" s="1">
        <v>45</v>
      </c>
      <c r="B51" s="18">
        <f t="shared" si="4"/>
        <v>0.99999831994810406</v>
      </c>
      <c r="C51" s="18">
        <f t="shared" si="5"/>
        <v>0.70573728070775854</v>
      </c>
      <c r="D51" s="18">
        <f t="shared" si="6"/>
        <v>0.70573609503250201</v>
      </c>
      <c r="E51" s="18">
        <f t="shared" si="7"/>
        <v>0.35348761732043299</v>
      </c>
    </row>
    <row r="52" spans="1:5" x14ac:dyDescent="0.2">
      <c r="A52" s="1">
        <v>46</v>
      </c>
      <c r="B52" s="18">
        <f t="shared" si="4"/>
        <v>0.9504758129748333</v>
      </c>
      <c r="C52" s="18">
        <f t="shared" si="5"/>
        <v>0.4522293155974188</v>
      </c>
      <c r="D52" s="18">
        <f t="shared" si="6"/>
        <v>0.42983302639350912</v>
      </c>
      <c r="E52" s="18">
        <f t="shared" si="7"/>
        <v>0.35348761732043299</v>
      </c>
    </row>
    <row r="53" spans="1:5" x14ac:dyDescent="0.2">
      <c r="A53" s="1">
        <v>47</v>
      </c>
      <c r="B53" s="18">
        <f t="shared" si="4"/>
        <v>0.80789018097144083</v>
      </c>
      <c r="C53" s="18">
        <f t="shared" si="5"/>
        <v>0.15444260844523056</v>
      </c>
      <c r="D53" s="18">
        <f t="shared" si="6"/>
        <v>0.1247726668865187</v>
      </c>
      <c r="E53" s="18">
        <f t="shared" si="7"/>
        <v>0.35348761732043299</v>
      </c>
    </row>
    <row r="54" spans="1:5" x14ac:dyDescent="0.2">
      <c r="A54" s="1">
        <v>48</v>
      </c>
      <c r="B54" s="18">
        <f t="shared" si="4"/>
        <v>0.58620228892522108</v>
      </c>
      <c r="C54" s="18">
        <f t="shared" si="5"/>
        <v>-0.15846590568354113</v>
      </c>
      <c r="D54" s="18">
        <f t="shared" si="6"/>
        <v>-9.2893076628300014E-2</v>
      </c>
      <c r="E54" s="18">
        <f t="shared" si="7"/>
        <v>0.35348761732043299</v>
      </c>
    </row>
    <row r="55" spans="1:5" x14ac:dyDescent="0.2">
      <c r="A55" s="1">
        <v>49</v>
      </c>
      <c r="B55" s="18">
        <f t="shared" si="4"/>
        <v>0.30711807372960054</v>
      </c>
      <c r="C55" s="18">
        <f t="shared" si="5"/>
        <v>-0.45585868317564804</v>
      </c>
      <c r="D55" s="18">
        <f t="shared" si="6"/>
        <v>-0.14000244066981729</v>
      </c>
      <c r="E55" s="18">
        <f t="shared" si="7"/>
        <v>0.35348761732043299</v>
      </c>
    </row>
    <row r="56" spans="1:5" x14ac:dyDescent="0.2">
      <c r="A56" s="1">
        <v>50</v>
      </c>
      <c r="B56" s="18">
        <f t="shared" si="4"/>
        <v>-2.0367306428782368E-3</v>
      </c>
      <c r="C56" s="18">
        <f t="shared" si="5"/>
        <v>-0.70861735946357529</v>
      </c>
      <c r="D56" s="18">
        <f t="shared" si="6"/>
        <v>1.4432626900949264E-3</v>
      </c>
      <c r="E56" s="18">
        <f t="shared" si="7"/>
        <v>0.35348761732043299</v>
      </c>
    </row>
    <row r="57" spans="1:5" x14ac:dyDescent="0.2">
      <c r="A57" s="1">
        <v>51</v>
      </c>
      <c r="B57" s="18">
        <f t="shared" si="4"/>
        <v>-0.31099211435058915</v>
      </c>
      <c r="C57" s="18">
        <f t="shared" si="5"/>
        <v>-0.89199379054120853</v>
      </c>
      <c r="D57" s="18">
        <f t="shared" si="6"/>
        <v>0.277403034908007</v>
      </c>
      <c r="E57" s="18">
        <f t="shared" si="7"/>
        <v>0.35348761732043299</v>
      </c>
    </row>
    <row r="58" spans="1:5" x14ac:dyDescent="0.2">
      <c r="A58" s="1">
        <v>52</v>
      </c>
      <c r="B58" s="18">
        <f t="shared" si="4"/>
        <v>-0.58949759325682061</v>
      </c>
      <c r="C58" s="18">
        <f t="shared" si="5"/>
        <v>-0.98803319681290214</v>
      </c>
      <c r="D58" s="18">
        <f t="shared" si="6"/>
        <v>0.58244319157904834</v>
      </c>
      <c r="E58" s="18">
        <f t="shared" si="7"/>
        <v>0.35348761732043299</v>
      </c>
    </row>
    <row r="59" spans="1:5" x14ac:dyDescent="0.2">
      <c r="A59" s="1">
        <v>53</v>
      </c>
      <c r="B59" s="18">
        <f t="shared" si="4"/>
        <v>-0.81028409870015972</v>
      </c>
      <c r="C59" s="18">
        <f t="shared" si="5"/>
        <v>-0.98733215406556885</v>
      </c>
      <c r="D59" s="18">
        <f t="shared" si="6"/>
        <v>0.8000195445747067</v>
      </c>
      <c r="E59" s="18">
        <f t="shared" si="7"/>
        <v>0.35348761732043299</v>
      </c>
    </row>
    <row r="60" spans="1:5" x14ac:dyDescent="0.2">
      <c r="A60" s="1">
        <v>54</v>
      </c>
      <c r="B60" s="18">
        <f t="shared" si="4"/>
        <v>-0.95173395048238252</v>
      </c>
      <c r="C60" s="18">
        <f t="shared" si="5"/>
        <v>-0.88995930289790259</v>
      </c>
      <c r="D60" s="18">
        <f t="shared" si="6"/>
        <v>0.84700448311556809</v>
      </c>
      <c r="E60" s="18">
        <f t="shared" si="7"/>
        <v>0.35348761732043299</v>
      </c>
    </row>
    <row r="61" spans="1:5" x14ac:dyDescent="0.2">
      <c r="A61" s="1">
        <v>55</v>
      </c>
      <c r="B61" s="18">
        <f t="shared" si="4"/>
        <v>-0.99999749029319396</v>
      </c>
      <c r="C61" s="18">
        <f t="shared" si="5"/>
        <v>-0.70544862797216812</v>
      </c>
      <c r="D61" s="18">
        <f t="shared" si="6"/>
        <v>0.70544685750294522</v>
      </c>
      <c r="E61" s="18">
        <f t="shared" si="7"/>
        <v>0.35348761732043299</v>
      </c>
    </row>
    <row r="62" spans="1:5" x14ac:dyDescent="0.2">
      <c r="A62" s="1">
        <v>56</v>
      </c>
      <c r="B62" s="18">
        <f t="shared" si="4"/>
        <v>-0.95034913145432598</v>
      </c>
      <c r="C62" s="18">
        <f t="shared" si="5"/>
        <v>-0.45186596513142935</v>
      </c>
      <c r="D62" s="18">
        <f t="shared" si="6"/>
        <v>0.42943042749642463</v>
      </c>
      <c r="E62" s="18">
        <f t="shared" si="7"/>
        <v>0.35348761732043299</v>
      </c>
    </row>
    <row r="63" spans="1:5" x14ac:dyDescent="0.2">
      <c r="A63" s="1">
        <v>57</v>
      </c>
      <c r="B63" s="18">
        <f t="shared" si="4"/>
        <v>-0.8076500512446626</v>
      </c>
      <c r="C63" s="18">
        <f t="shared" si="5"/>
        <v>-0.1540401366721286</v>
      </c>
      <c r="D63" s="18">
        <f t="shared" si="6"/>
        <v>0.12441052427697949</v>
      </c>
      <c r="E63" s="18">
        <f t="shared" si="7"/>
        <v>0.35348761732043299</v>
      </c>
    </row>
    <row r="64" spans="1:5" x14ac:dyDescent="0.2">
      <c r="A64" s="1">
        <v>58</v>
      </c>
      <c r="B64" s="18">
        <f t="shared" si="4"/>
        <v>-0.58587222260865046</v>
      </c>
      <c r="C64" s="18">
        <f t="shared" si="5"/>
        <v>0.15886809188939852</v>
      </c>
      <c r="D64" s="18">
        <f t="shared" si="6"/>
        <v>-9.3076402096837221E-2</v>
      </c>
      <c r="E64" s="18">
        <f t="shared" si="7"/>
        <v>0.35348761732043299</v>
      </c>
    </row>
    <row r="65" spans="1:5" x14ac:dyDescent="0.2">
      <c r="A65" s="1">
        <v>59</v>
      </c>
      <c r="B65" s="18">
        <f t="shared" si="4"/>
        <v>-0.30673038832408223</v>
      </c>
      <c r="C65" s="18">
        <f t="shared" si="5"/>
        <v>0.45622120490040358</v>
      </c>
      <c r="D65" s="18">
        <f t="shared" si="6"/>
        <v>-0.13993690734078149</v>
      </c>
      <c r="E65" s="18">
        <f t="shared" si="7"/>
        <v>0.35348761732043299</v>
      </c>
    </row>
    <row r="66" spans="1:5" x14ac:dyDescent="0.2">
      <c r="A66" s="1">
        <v>60</v>
      </c>
      <c r="B66" s="18">
        <f t="shared" si="4"/>
        <v>2.4440760279498736E-3</v>
      </c>
      <c r="C66" s="18">
        <f t="shared" si="5"/>
        <v>0.70890472142777783</v>
      </c>
      <c r="D66" s="18">
        <f t="shared" si="6"/>
        <v>1.7326170357421149E-3</v>
      </c>
      <c r="E66" s="18">
        <f t="shared" si="7"/>
        <v>0.35348761732043299</v>
      </c>
    </row>
    <row r="67" spans="1:5" x14ac:dyDescent="0.2">
      <c r="B67" s="18"/>
      <c r="C67" s="18"/>
      <c r="D67" s="18"/>
    </row>
    <row r="68" spans="1:5" x14ac:dyDescent="0.2">
      <c r="B68" s="18"/>
      <c r="C68" s="18"/>
      <c r="D68" s="18"/>
    </row>
    <row r="69" spans="1:5" x14ac:dyDescent="0.2">
      <c r="B69" s="18"/>
      <c r="C69" s="18"/>
      <c r="D69" s="18"/>
    </row>
    <row r="70" spans="1:5" x14ac:dyDescent="0.2">
      <c r="B70" s="18"/>
      <c r="C70" s="18"/>
      <c r="D70" s="18"/>
    </row>
    <row r="71" spans="1:5" x14ac:dyDescent="0.2">
      <c r="B71" s="18"/>
      <c r="C71" s="18"/>
      <c r="D71" s="18"/>
    </row>
  </sheetData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2"/>
  <sheetViews>
    <sheetView zoomScaleNormal="100" workbookViewId="0">
      <selection activeCell="Q9" sqref="Q9"/>
    </sheetView>
  </sheetViews>
  <sheetFormatPr baseColWidth="10" defaultColWidth="10.33203125" defaultRowHeight="16" x14ac:dyDescent="0.2"/>
  <cols>
    <col min="7" max="7" width="11.6640625" style="19" customWidth="1"/>
    <col min="8" max="8" width="5.83203125" customWidth="1"/>
    <col min="10" max="10" width="6" customWidth="1"/>
    <col min="18" max="21" width="10.83203125" style="1" customWidth="1"/>
  </cols>
  <sheetData>
    <row r="1" spans="2:21" x14ac:dyDescent="0.2">
      <c r="Q1" s="20" t="s">
        <v>15</v>
      </c>
      <c r="R1" s="21"/>
      <c r="S1" s="3" t="s">
        <v>16</v>
      </c>
      <c r="T1" s="22"/>
    </row>
    <row r="2" spans="2:21" x14ac:dyDescent="0.2">
      <c r="G2" s="19" t="s">
        <v>17</v>
      </c>
      <c r="H2" s="23">
        <v>230</v>
      </c>
      <c r="I2" t="s">
        <v>18</v>
      </c>
      <c r="M2" s="1" t="s">
        <v>19</v>
      </c>
      <c r="N2" s="1" t="s">
        <v>15</v>
      </c>
      <c r="O2" s="1" t="s">
        <v>16</v>
      </c>
      <c r="Q2" s="24" t="s">
        <v>20</v>
      </c>
      <c r="R2" s="25" t="s">
        <v>21</v>
      </c>
      <c r="S2" s="1" t="s">
        <v>20</v>
      </c>
      <c r="T2" s="26" t="s">
        <v>21</v>
      </c>
    </row>
    <row r="3" spans="2:21" x14ac:dyDescent="0.2">
      <c r="G3" s="19" t="s">
        <v>22</v>
      </c>
      <c r="H3" s="23">
        <v>1</v>
      </c>
      <c r="I3" t="s">
        <v>23</v>
      </c>
      <c r="J3" t="s">
        <v>24</v>
      </c>
      <c r="M3" s="27" t="s">
        <v>25</v>
      </c>
      <c r="N3" s="28">
        <f>K9</f>
        <v>32.608695652173914</v>
      </c>
      <c r="O3" s="27">
        <v>0</v>
      </c>
      <c r="P3" t="s">
        <v>26</v>
      </c>
      <c r="Q3" s="29">
        <v>0</v>
      </c>
      <c r="R3" s="30">
        <f>N3</f>
        <v>32.608695652173914</v>
      </c>
      <c r="S3" s="1">
        <v>0</v>
      </c>
      <c r="T3" s="26">
        <f>O3</f>
        <v>0</v>
      </c>
      <c r="U3" s="31"/>
    </row>
    <row r="4" spans="2:21" x14ac:dyDescent="0.2">
      <c r="G4" s="19" t="s">
        <v>27</v>
      </c>
      <c r="H4" s="23">
        <v>0.5</v>
      </c>
      <c r="I4" t="s">
        <v>23</v>
      </c>
      <c r="J4" t="s">
        <v>28</v>
      </c>
      <c r="M4" s="32" t="s">
        <v>29</v>
      </c>
      <c r="N4" s="33">
        <f>K10</f>
        <v>32.608695652173914</v>
      </c>
      <c r="O4" s="32">
        <v>0</v>
      </c>
      <c r="P4" t="s">
        <v>18</v>
      </c>
      <c r="Q4" s="34">
        <f>R5</f>
        <v>184</v>
      </c>
      <c r="R4" s="30">
        <f>R5+N4</f>
        <v>216.60869565217391</v>
      </c>
      <c r="S4" s="31">
        <f>T5</f>
        <v>154.30434782608694</v>
      </c>
      <c r="T4" s="35">
        <f>T5+O4</f>
        <v>154.30434782608694</v>
      </c>
      <c r="U4" s="31"/>
    </row>
    <row r="5" spans="2:21" x14ac:dyDescent="0.2">
      <c r="M5" s="32" t="s">
        <v>30</v>
      </c>
      <c r="N5" s="32">
        <v>0</v>
      </c>
      <c r="O5" s="33">
        <f>K11</f>
        <v>16.304347826086957</v>
      </c>
      <c r="P5" t="s">
        <v>18</v>
      </c>
      <c r="Q5" s="34">
        <f>R6</f>
        <v>184</v>
      </c>
      <c r="R5" s="30">
        <f>R6+N5</f>
        <v>184</v>
      </c>
      <c r="S5" s="31">
        <f>T6</f>
        <v>137.99999999999997</v>
      </c>
      <c r="T5" s="35">
        <f>T6+O5</f>
        <v>154.30434782608694</v>
      </c>
    </row>
    <row r="6" spans="2:21" x14ac:dyDescent="0.2">
      <c r="J6" s="36" t="s">
        <v>3</v>
      </c>
      <c r="K6" s="37">
        <f>H10*ACOS(H9)</f>
        <v>0.64350110879328426</v>
      </c>
      <c r="L6" t="s">
        <v>31</v>
      </c>
      <c r="M6" s="32" t="s">
        <v>32</v>
      </c>
      <c r="N6" s="32">
        <f>H2*H9</f>
        <v>184</v>
      </c>
      <c r="O6" s="33">
        <f>H2*SIN(K6)</f>
        <v>137.99999999999997</v>
      </c>
      <c r="P6" t="s">
        <v>18</v>
      </c>
      <c r="Q6" s="34">
        <v>0</v>
      </c>
      <c r="R6" s="30">
        <f>N6</f>
        <v>184</v>
      </c>
      <c r="S6" s="31">
        <v>0</v>
      </c>
      <c r="T6" s="35">
        <f>O6</f>
        <v>137.99999999999997</v>
      </c>
    </row>
    <row r="7" spans="2:21" x14ac:dyDescent="0.2">
      <c r="G7" s="10" t="s">
        <v>33</v>
      </c>
      <c r="J7" s="36" t="s">
        <v>3</v>
      </c>
      <c r="K7" s="37">
        <f>K6*180/PI()</f>
        <v>36.869897645844013</v>
      </c>
      <c r="L7" t="s">
        <v>4</v>
      </c>
      <c r="M7" s="32" t="s">
        <v>34</v>
      </c>
      <c r="N7" s="33">
        <f>N4+N5+N6</f>
        <v>216.60869565217391</v>
      </c>
      <c r="O7" s="33">
        <f>O4+O5+O6</f>
        <v>154.30434782608694</v>
      </c>
      <c r="P7" t="s">
        <v>18</v>
      </c>
      <c r="Q7" s="29">
        <v>0</v>
      </c>
      <c r="R7" s="30">
        <f>N7</f>
        <v>216.60869565217391</v>
      </c>
      <c r="S7" s="1">
        <v>0</v>
      </c>
      <c r="T7" s="35">
        <f>O7</f>
        <v>154.30434782608694</v>
      </c>
    </row>
    <row r="8" spans="2:21" x14ac:dyDescent="0.2">
      <c r="G8" s="38" t="s">
        <v>35</v>
      </c>
      <c r="H8" s="7">
        <v>6</v>
      </c>
      <c r="I8" s="39" t="s">
        <v>36</v>
      </c>
      <c r="J8" s="19" t="s">
        <v>37</v>
      </c>
      <c r="K8" s="37">
        <f>H8*TAN(K6)</f>
        <v>4.4999999999999982</v>
      </c>
      <c r="L8" t="s">
        <v>38</v>
      </c>
      <c r="M8" s="1"/>
      <c r="N8" s="1"/>
      <c r="O8" s="1"/>
      <c r="Q8" s="40" t="s">
        <v>39</v>
      </c>
      <c r="R8" s="41"/>
      <c r="S8" s="13"/>
      <c r="T8" s="42"/>
    </row>
    <row r="9" spans="2:21" x14ac:dyDescent="0.2">
      <c r="G9" s="43" t="s">
        <v>40</v>
      </c>
      <c r="H9" s="44">
        <v>0.8</v>
      </c>
      <c r="I9" s="11"/>
      <c r="J9" s="19" t="s">
        <v>41</v>
      </c>
      <c r="K9" s="37">
        <f>H8*1000/(H2*H9)</f>
        <v>32.608695652173914</v>
      </c>
      <c r="L9" t="s">
        <v>26</v>
      </c>
      <c r="M9" s="1" t="s">
        <v>42</v>
      </c>
      <c r="N9" s="31">
        <f>SQRT(N7*N7+O7*O7)</f>
        <v>265.94954181229588</v>
      </c>
    </row>
    <row r="10" spans="2:21" x14ac:dyDescent="0.2">
      <c r="G10" s="45" t="s">
        <v>43</v>
      </c>
      <c r="H10" s="46">
        <v>1</v>
      </c>
      <c r="I10" s="16"/>
      <c r="J10" s="19" t="s">
        <v>44</v>
      </c>
      <c r="K10" s="37">
        <f>H3*K9</f>
        <v>32.608695652173914</v>
      </c>
      <c r="L10" t="s">
        <v>18</v>
      </c>
      <c r="M10" s="1" t="s">
        <v>45</v>
      </c>
      <c r="N10" s="18">
        <f>ATAN(O7/N7)</f>
        <v>0.61897618235122609</v>
      </c>
      <c r="O10" s="1" t="s">
        <v>31</v>
      </c>
    </row>
    <row r="11" spans="2:21" x14ac:dyDescent="0.2">
      <c r="B11" s="47" t="s">
        <v>46</v>
      </c>
      <c r="J11" s="19" t="s">
        <v>47</v>
      </c>
      <c r="K11" s="37">
        <f>H4*K9</f>
        <v>16.304347826086957</v>
      </c>
      <c r="L11" t="s">
        <v>18</v>
      </c>
      <c r="M11" s="1"/>
      <c r="N11" s="31">
        <f>N10*180/PI()</f>
        <v>35.464722867845289</v>
      </c>
      <c r="O11" s="1" t="s">
        <v>4</v>
      </c>
    </row>
    <row r="12" spans="2:21" x14ac:dyDescent="0.2">
      <c r="M12" t="s">
        <v>48</v>
      </c>
      <c r="N12" s="18">
        <f>N9/H2</f>
        <v>1.1563023557056342</v>
      </c>
      <c r="O12" s="1" t="s">
        <v>49</v>
      </c>
    </row>
  </sheetData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6"/>
  <sheetViews>
    <sheetView zoomScaleNormal="100" workbookViewId="0">
      <selection activeCell="B14" sqref="B14"/>
    </sheetView>
  </sheetViews>
  <sheetFormatPr baseColWidth="10" defaultColWidth="10.33203125" defaultRowHeight="16" x14ac:dyDescent="0.2"/>
  <cols>
    <col min="1" max="1" width="7.33203125" customWidth="1"/>
    <col min="2" max="2" width="5.33203125" customWidth="1"/>
    <col min="3" max="3" width="5.6640625" customWidth="1"/>
    <col min="4" max="4" width="7.33203125" customWidth="1"/>
    <col min="5" max="5" width="5.5" customWidth="1"/>
    <col min="6" max="6" width="5.83203125" style="48" customWidth="1"/>
    <col min="7" max="7" width="6.1640625" customWidth="1"/>
    <col min="8" max="8" width="7" customWidth="1"/>
    <col min="9" max="9" width="8.1640625" customWidth="1"/>
    <col min="12" max="12" width="6.33203125" customWidth="1"/>
    <col min="13" max="13" width="7.1640625" style="48" customWidth="1"/>
  </cols>
  <sheetData>
    <row r="1" spans="1:15" x14ac:dyDescent="0.2">
      <c r="A1" s="49"/>
      <c r="B1" s="49"/>
      <c r="C1" s="49"/>
      <c r="D1" s="49"/>
      <c r="E1" s="49"/>
      <c r="F1" s="50"/>
      <c r="G1" s="49"/>
      <c r="H1" s="49"/>
      <c r="I1" s="49"/>
      <c r="J1" s="49"/>
      <c r="K1" s="49"/>
      <c r="L1" s="49"/>
      <c r="M1" s="50"/>
      <c r="N1" s="49"/>
      <c r="O1" s="49"/>
    </row>
    <row r="2" spans="1:15" x14ac:dyDescent="0.2">
      <c r="A2" s="49"/>
      <c r="B2" s="49"/>
      <c r="C2" s="49"/>
      <c r="D2" s="49"/>
      <c r="E2" s="49"/>
      <c r="F2" s="50"/>
      <c r="G2" s="49"/>
      <c r="H2" s="49"/>
      <c r="I2" s="49"/>
      <c r="J2" s="49"/>
      <c r="K2" s="49"/>
      <c r="L2" s="49"/>
      <c r="M2" s="50"/>
      <c r="N2" s="49"/>
      <c r="O2" s="49"/>
    </row>
    <row r="3" spans="1:15" x14ac:dyDescent="0.2">
      <c r="A3" s="49"/>
      <c r="B3" s="49"/>
      <c r="C3" s="49"/>
      <c r="D3" s="49"/>
      <c r="E3" s="49"/>
      <c r="F3" s="50"/>
      <c r="G3" s="49"/>
      <c r="H3" s="49"/>
      <c r="I3" s="49"/>
      <c r="J3" s="49"/>
      <c r="K3" s="49"/>
      <c r="L3" s="49"/>
      <c r="M3" s="50"/>
      <c r="N3" s="49"/>
      <c r="O3" s="49"/>
    </row>
    <row r="4" spans="1:15" x14ac:dyDescent="0.2">
      <c r="A4" s="49"/>
      <c r="B4" s="49"/>
      <c r="C4" s="49"/>
      <c r="D4" s="49"/>
      <c r="E4" s="49"/>
      <c r="F4" s="50"/>
      <c r="G4" s="49"/>
      <c r="H4" s="49"/>
      <c r="I4" s="49"/>
      <c r="J4" s="49"/>
      <c r="K4" s="49"/>
      <c r="L4" s="49"/>
      <c r="M4" s="50"/>
      <c r="N4" s="49"/>
      <c r="O4" s="49"/>
    </row>
    <row r="5" spans="1:15" x14ac:dyDescent="0.2">
      <c r="A5" s="49"/>
      <c r="B5" s="49"/>
      <c r="C5" s="49"/>
      <c r="D5" s="49"/>
      <c r="E5" s="49"/>
      <c r="F5" s="50"/>
      <c r="G5" s="49"/>
      <c r="H5" s="49"/>
      <c r="I5" s="49"/>
      <c r="J5" s="49"/>
      <c r="K5" s="49"/>
      <c r="L5" s="49"/>
      <c r="M5" s="50"/>
      <c r="N5" s="49"/>
      <c r="O5" s="49"/>
    </row>
    <row r="6" spans="1:15" x14ac:dyDescent="0.2">
      <c r="A6" s="49"/>
      <c r="B6" s="49"/>
      <c r="C6" s="49"/>
      <c r="D6" s="49"/>
      <c r="E6" s="49"/>
      <c r="F6" s="50"/>
      <c r="G6" s="49"/>
      <c r="H6" s="49"/>
      <c r="I6" s="49"/>
      <c r="J6" s="49"/>
      <c r="K6" s="49"/>
      <c r="L6" s="49"/>
      <c r="M6" s="50"/>
      <c r="N6" s="49"/>
      <c r="O6" s="49"/>
    </row>
    <row r="7" spans="1:15" x14ac:dyDescent="0.2">
      <c r="A7" s="49"/>
      <c r="B7" s="49"/>
      <c r="C7" s="49"/>
      <c r="D7" s="49"/>
      <c r="E7" s="49"/>
      <c r="F7" s="50"/>
      <c r="G7" s="49"/>
      <c r="H7" s="49"/>
      <c r="I7" s="49"/>
      <c r="J7" s="49"/>
      <c r="K7" s="49"/>
      <c r="L7" s="49"/>
      <c r="M7" s="50"/>
      <c r="N7" s="49"/>
      <c r="O7" s="49"/>
    </row>
    <row r="8" spans="1:15" x14ac:dyDescent="0.2">
      <c r="A8" s="49"/>
      <c r="B8" s="49"/>
      <c r="C8" s="49"/>
      <c r="D8" s="49"/>
      <c r="E8" s="49"/>
      <c r="F8" s="50"/>
      <c r="G8" s="49"/>
      <c r="H8" s="49"/>
      <c r="I8" s="49"/>
      <c r="J8" s="49"/>
      <c r="K8" s="49"/>
      <c r="L8" s="49"/>
      <c r="M8" s="50"/>
      <c r="N8" s="49"/>
      <c r="O8" s="49"/>
    </row>
    <row r="9" spans="1:15" x14ac:dyDescent="0.2">
      <c r="A9" s="49"/>
      <c r="B9" s="49"/>
      <c r="C9" s="49"/>
      <c r="D9" s="49"/>
      <c r="E9" s="49"/>
      <c r="F9" s="50"/>
      <c r="G9" s="49"/>
      <c r="H9" s="49"/>
      <c r="I9" s="49"/>
      <c r="J9" s="49"/>
      <c r="K9" s="49"/>
      <c r="L9" s="49"/>
      <c r="M9" s="50"/>
      <c r="N9" s="49"/>
      <c r="O9" s="49"/>
    </row>
    <row r="11" spans="1:15" x14ac:dyDescent="0.2">
      <c r="A11" t="s">
        <v>50</v>
      </c>
      <c r="B11" s="51">
        <v>5</v>
      </c>
      <c r="C11" t="s">
        <v>51</v>
      </c>
      <c r="E11" t="s">
        <v>52</v>
      </c>
      <c r="G11" t="s">
        <v>53</v>
      </c>
      <c r="H11" s="48">
        <f>(B12-B13)/(B12+B13)</f>
        <v>-0.6271186440677966</v>
      </c>
      <c r="J11" t="s">
        <v>54</v>
      </c>
      <c r="M11" s="52">
        <v>200</v>
      </c>
      <c r="N11" t="s">
        <v>55</v>
      </c>
    </row>
    <row r="12" spans="1:15" x14ac:dyDescent="0.2">
      <c r="A12" t="s">
        <v>56</v>
      </c>
      <c r="B12" s="51">
        <v>55</v>
      </c>
      <c r="C12" t="s">
        <v>51</v>
      </c>
      <c r="G12" t="s">
        <v>57</v>
      </c>
      <c r="H12" s="48">
        <f>(B11-B13)/(B11+B13)</f>
        <v>-0.95918367346938771</v>
      </c>
      <c r="J12" t="s">
        <v>58</v>
      </c>
      <c r="M12" s="48">
        <v>200</v>
      </c>
      <c r="N12">
        <v>10000000</v>
      </c>
      <c r="O12" t="s">
        <v>59</v>
      </c>
    </row>
    <row r="13" spans="1:15" x14ac:dyDescent="0.2">
      <c r="A13" t="s">
        <v>60</v>
      </c>
      <c r="B13" s="51">
        <v>240</v>
      </c>
      <c r="C13" t="s">
        <v>51</v>
      </c>
    </row>
    <row r="14" spans="1:15" x14ac:dyDescent="0.2">
      <c r="J14" t="s">
        <v>61</v>
      </c>
      <c r="K14">
        <f>M11/M12</f>
        <v>1</v>
      </c>
      <c r="L14" t="s">
        <v>62</v>
      </c>
    </row>
    <row r="15" spans="1:15" x14ac:dyDescent="0.2">
      <c r="B15" s="51"/>
      <c r="C15" t="s">
        <v>63</v>
      </c>
    </row>
    <row r="17" spans="1:19" x14ac:dyDescent="0.2">
      <c r="A17" t="s">
        <v>64</v>
      </c>
      <c r="B17" s="53" t="s">
        <v>65</v>
      </c>
      <c r="C17" s="54" t="s">
        <v>62</v>
      </c>
      <c r="D17" s="54" t="s">
        <v>66</v>
      </c>
      <c r="E17" s="55" t="s">
        <v>67</v>
      </c>
      <c r="F17" s="56">
        <v>0</v>
      </c>
      <c r="G17" s="54"/>
      <c r="H17" s="54"/>
      <c r="I17" s="54"/>
      <c r="J17" s="54"/>
      <c r="K17" s="54"/>
      <c r="L17" s="55" t="s">
        <v>68</v>
      </c>
      <c r="M17" s="57">
        <v>0</v>
      </c>
      <c r="N17" s="58"/>
    </row>
    <row r="18" spans="1:19" x14ac:dyDescent="0.2">
      <c r="B18" s="59">
        <v>0</v>
      </c>
      <c r="C18" s="60" t="s">
        <v>62</v>
      </c>
      <c r="D18" s="60" t="s">
        <v>69</v>
      </c>
      <c r="E18" s="60"/>
      <c r="F18" s="61">
        <f>B13/(B11+B13)</f>
        <v>0.97959183673469385</v>
      </c>
      <c r="G18" s="60"/>
      <c r="H18" s="60" t="s">
        <v>70</v>
      </c>
      <c r="I18" s="60"/>
      <c r="J18" s="60"/>
      <c r="K18" s="60"/>
      <c r="L18" s="60"/>
      <c r="M18" s="62">
        <v>0</v>
      </c>
      <c r="N18" s="63"/>
      <c r="O18" t="s">
        <v>71</v>
      </c>
    </row>
    <row r="20" spans="1:19" x14ac:dyDescent="0.2">
      <c r="B20" s="64">
        <v>1</v>
      </c>
      <c r="C20" s="54" t="s">
        <v>62</v>
      </c>
      <c r="D20" s="54"/>
      <c r="E20" s="54"/>
      <c r="F20" s="57">
        <f>F18</f>
        <v>0.97959183673469385</v>
      </c>
      <c r="G20" s="54"/>
      <c r="H20" s="54"/>
      <c r="I20" s="54"/>
      <c r="J20" s="54"/>
      <c r="K20" s="54"/>
      <c r="L20" s="54"/>
      <c r="M20" s="65">
        <f>F20</f>
        <v>0.97959183673469385</v>
      </c>
      <c r="N20" s="58"/>
      <c r="O20" t="s">
        <v>71</v>
      </c>
    </row>
    <row r="21" spans="1:19" x14ac:dyDescent="0.2">
      <c r="B21" s="66"/>
      <c r="C21" s="67"/>
      <c r="D21" s="67"/>
      <c r="E21" s="67"/>
      <c r="F21" s="68">
        <f>F20</f>
        <v>0.97959183673469385</v>
      </c>
      <c r="G21" s="67"/>
      <c r="H21" s="67"/>
      <c r="I21" s="67"/>
      <c r="J21" s="67"/>
      <c r="K21" s="67" t="s">
        <v>72</v>
      </c>
      <c r="L21" s="67"/>
      <c r="M21" s="69">
        <f>H11*M20</f>
        <v>-0.61432030439294361</v>
      </c>
      <c r="N21" s="70"/>
      <c r="O21" t="s">
        <v>73</v>
      </c>
    </row>
    <row r="22" spans="1:19" x14ac:dyDescent="0.2">
      <c r="B22" s="71"/>
      <c r="C22" s="72"/>
      <c r="D22" s="72"/>
      <c r="E22" s="72"/>
      <c r="F22" s="73">
        <f>F21</f>
        <v>0.97959183673469385</v>
      </c>
      <c r="G22" s="72"/>
      <c r="H22" s="72"/>
      <c r="I22" s="72"/>
      <c r="J22" s="72"/>
      <c r="K22" s="72"/>
      <c r="L22" s="72"/>
      <c r="M22" s="74">
        <f>M20+M21</f>
        <v>0.36527153234175025</v>
      </c>
      <c r="N22" s="75"/>
      <c r="O22" t="s">
        <v>74</v>
      </c>
    </row>
    <row r="24" spans="1:19" x14ac:dyDescent="0.2">
      <c r="B24" s="64">
        <f>2*K14</f>
        <v>2</v>
      </c>
      <c r="C24" s="54" t="s">
        <v>62</v>
      </c>
      <c r="D24" s="54"/>
      <c r="E24" s="54"/>
      <c r="F24" s="65">
        <f>M22</f>
        <v>0.36527153234175025</v>
      </c>
      <c r="G24" s="54"/>
      <c r="H24" s="54"/>
      <c r="I24" s="54"/>
      <c r="J24" s="54"/>
      <c r="K24" s="54"/>
      <c r="L24" s="54"/>
      <c r="M24" s="57">
        <f>M22</f>
        <v>0.36527153234175025</v>
      </c>
      <c r="N24" s="58"/>
      <c r="O24" t="s">
        <v>74</v>
      </c>
    </row>
    <row r="25" spans="1:19" x14ac:dyDescent="0.2">
      <c r="B25" s="76"/>
      <c r="C25" s="77"/>
      <c r="D25" s="77"/>
      <c r="E25" s="77"/>
      <c r="F25" s="69">
        <f>M21*H12</f>
        <v>0.58924600625445611</v>
      </c>
      <c r="G25" s="77"/>
      <c r="H25" s="77" t="s">
        <v>70</v>
      </c>
      <c r="I25" s="77"/>
      <c r="J25" s="77"/>
      <c r="K25" s="77"/>
      <c r="L25" s="77"/>
      <c r="M25" s="78">
        <f>M22</f>
        <v>0.36527153234175025</v>
      </c>
      <c r="N25" s="79"/>
      <c r="O25" t="s">
        <v>73</v>
      </c>
    </row>
    <row r="26" spans="1:19" x14ac:dyDescent="0.2">
      <c r="B26" s="71"/>
      <c r="C26" s="72"/>
      <c r="D26" s="72"/>
      <c r="E26" s="72"/>
      <c r="F26" s="74">
        <f>F24+F25</f>
        <v>0.95451753859620636</v>
      </c>
      <c r="G26" s="72"/>
      <c r="H26" s="72"/>
      <c r="I26" s="72"/>
      <c r="J26" s="72"/>
      <c r="K26" s="72"/>
      <c r="L26" s="72"/>
      <c r="M26" s="73">
        <f>M22</f>
        <v>0.36527153234175025</v>
      </c>
      <c r="N26" s="75"/>
      <c r="O26" t="s">
        <v>74</v>
      </c>
    </row>
    <row r="28" spans="1:19" x14ac:dyDescent="0.2">
      <c r="B28" s="64">
        <f>3*K14</f>
        <v>3</v>
      </c>
      <c r="C28" s="54" t="s">
        <v>62</v>
      </c>
      <c r="D28" s="54"/>
      <c r="E28" s="54"/>
      <c r="F28" s="57">
        <f>F26</f>
        <v>0.95451753859620636</v>
      </c>
      <c r="G28" s="54"/>
      <c r="H28" s="54"/>
      <c r="I28" s="54"/>
      <c r="J28" s="54"/>
      <c r="K28" s="54"/>
      <c r="L28" s="54"/>
      <c r="M28" s="65">
        <f>F26</f>
        <v>0.95451753859620636</v>
      </c>
      <c r="N28" s="58"/>
      <c r="O28" t="s">
        <v>74</v>
      </c>
    </row>
    <row r="29" spans="1:19" x14ac:dyDescent="0.2">
      <c r="B29" s="66"/>
      <c r="C29" s="67"/>
      <c r="D29" s="67"/>
      <c r="E29" s="67"/>
      <c r="F29" s="68">
        <f>F26</f>
        <v>0.95451753859620636</v>
      </c>
      <c r="G29" s="67"/>
      <c r="H29" s="67"/>
      <c r="I29" s="67"/>
      <c r="J29" s="67"/>
      <c r="K29" s="67" t="s">
        <v>72</v>
      </c>
      <c r="L29" s="67"/>
      <c r="M29" s="69">
        <f>F25*H11</f>
        <v>-0.36952715646465889</v>
      </c>
      <c r="N29" s="70"/>
      <c r="O29" t="s">
        <v>73</v>
      </c>
      <c r="S29" t="s">
        <v>75</v>
      </c>
    </row>
    <row r="30" spans="1:19" x14ac:dyDescent="0.2">
      <c r="B30" s="71"/>
      <c r="C30" s="72"/>
      <c r="D30" s="72"/>
      <c r="E30" s="72"/>
      <c r="F30" s="73">
        <f>F26</f>
        <v>0.95451753859620636</v>
      </c>
      <c r="G30" s="72"/>
      <c r="H30" s="72"/>
      <c r="I30" s="72"/>
      <c r="J30" s="72"/>
      <c r="K30" s="72"/>
      <c r="L30" s="72"/>
      <c r="M30" s="74">
        <f>M28+M29</f>
        <v>0.58499038213154742</v>
      </c>
      <c r="N30" s="75"/>
      <c r="O30" t="s">
        <v>74</v>
      </c>
    </row>
    <row r="32" spans="1:19" x14ac:dyDescent="0.2">
      <c r="B32" s="64">
        <f>4*K14</f>
        <v>4</v>
      </c>
      <c r="C32" s="54" t="s">
        <v>62</v>
      </c>
      <c r="D32" s="54"/>
      <c r="E32" s="54"/>
      <c r="F32" s="65">
        <f>M30</f>
        <v>0.58499038213154742</v>
      </c>
      <c r="G32" s="54"/>
      <c r="H32" s="54"/>
      <c r="I32" s="54"/>
      <c r="J32" s="54"/>
      <c r="K32" s="54"/>
      <c r="L32" s="54"/>
      <c r="M32" s="57">
        <f>M30</f>
        <v>0.58499038213154742</v>
      </c>
      <c r="N32" s="58"/>
      <c r="O32" t="s">
        <v>74</v>
      </c>
    </row>
    <row r="33" spans="2:15" x14ac:dyDescent="0.2">
      <c r="B33" s="76"/>
      <c r="C33" s="77"/>
      <c r="D33" s="77"/>
      <c r="E33" s="77"/>
      <c r="F33" s="69">
        <f>M29*H12</f>
        <v>0.35444441538446869</v>
      </c>
      <c r="G33" s="77"/>
      <c r="H33" s="77" t="s">
        <v>70</v>
      </c>
      <c r="I33" s="77"/>
      <c r="J33" s="77"/>
      <c r="K33" s="77"/>
      <c r="L33" s="77"/>
      <c r="M33" s="78">
        <f>M30</f>
        <v>0.58499038213154742</v>
      </c>
      <c r="N33" s="80"/>
      <c r="O33" t="s">
        <v>73</v>
      </c>
    </row>
    <row r="34" spans="2:15" x14ac:dyDescent="0.2">
      <c r="B34" s="71"/>
      <c r="C34" s="72"/>
      <c r="D34" s="72"/>
      <c r="E34" s="72"/>
      <c r="F34" s="74">
        <f>F32+F33</f>
        <v>0.93943479751601611</v>
      </c>
      <c r="G34" s="72"/>
      <c r="H34" s="72"/>
      <c r="I34" s="72"/>
      <c r="J34" s="72"/>
      <c r="K34" s="72"/>
      <c r="L34" s="72"/>
      <c r="M34" s="73">
        <f>M30</f>
        <v>0.58499038213154742</v>
      </c>
      <c r="N34" s="75"/>
      <c r="O34" t="s">
        <v>74</v>
      </c>
    </row>
    <row r="36" spans="2:15" x14ac:dyDescent="0.2">
      <c r="B36" s="64">
        <f>5*K14</f>
        <v>5</v>
      </c>
      <c r="C36" s="54" t="s">
        <v>62</v>
      </c>
      <c r="D36" s="54"/>
      <c r="E36" s="54"/>
      <c r="F36" s="57">
        <f>F34</f>
        <v>0.93943479751601611</v>
      </c>
      <c r="G36" s="54"/>
      <c r="H36" s="54"/>
      <c r="I36" s="54"/>
      <c r="J36" s="54"/>
      <c r="K36" s="54"/>
      <c r="L36" s="54"/>
      <c r="M36" s="65">
        <f>F34</f>
        <v>0.93943479751601611</v>
      </c>
      <c r="N36" s="58"/>
      <c r="O36" t="s">
        <v>74</v>
      </c>
    </row>
    <row r="37" spans="2:15" x14ac:dyDescent="0.2">
      <c r="B37" s="66"/>
      <c r="C37" s="67"/>
      <c r="D37" s="67"/>
      <c r="E37" s="67"/>
      <c r="F37" s="68">
        <f>F34</f>
        <v>0.93943479751601611</v>
      </c>
      <c r="G37" s="67"/>
      <c r="H37" s="67"/>
      <c r="I37" s="67"/>
      <c r="J37" s="67"/>
      <c r="K37" s="67" t="s">
        <v>72</v>
      </c>
      <c r="L37" s="67"/>
      <c r="M37" s="69">
        <f>F33*H11</f>
        <v>-0.22227870117331086</v>
      </c>
      <c r="N37" s="70"/>
      <c r="O37" t="s">
        <v>73</v>
      </c>
    </row>
    <row r="38" spans="2:15" x14ac:dyDescent="0.2">
      <c r="B38" s="71"/>
      <c r="C38" s="72"/>
      <c r="D38" s="72"/>
      <c r="E38" s="72"/>
      <c r="F38" s="73">
        <f>F34</f>
        <v>0.93943479751601611</v>
      </c>
      <c r="G38" s="72"/>
      <c r="H38" s="72"/>
      <c r="I38" s="72"/>
      <c r="J38" s="72"/>
      <c r="K38" s="72"/>
      <c r="L38" s="72"/>
      <c r="M38" s="74">
        <f>M36+M37</f>
        <v>0.71715609634270527</v>
      </c>
      <c r="N38" s="75"/>
      <c r="O38" t="s">
        <v>74</v>
      </c>
    </row>
    <row r="40" spans="2:15" x14ac:dyDescent="0.2">
      <c r="B40" s="64">
        <f>6*K14</f>
        <v>6</v>
      </c>
      <c r="C40" s="54" t="s">
        <v>62</v>
      </c>
      <c r="D40" s="54"/>
      <c r="E40" s="54"/>
      <c r="F40" s="65">
        <f>M38</f>
        <v>0.71715609634270527</v>
      </c>
      <c r="G40" s="54"/>
      <c r="H40" s="54"/>
      <c r="I40" s="54"/>
      <c r="J40" s="54"/>
      <c r="K40" s="54"/>
      <c r="L40" s="54"/>
      <c r="M40" s="57">
        <f>M38</f>
        <v>0.71715609634270527</v>
      </c>
      <c r="N40" s="58"/>
      <c r="O40" t="s">
        <v>74</v>
      </c>
    </row>
    <row r="41" spans="2:15" x14ac:dyDescent="0.2">
      <c r="B41" s="76"/>
      <c r="C41" s="77"/>
      <c r="D41" s="77"/>
      <c r="E41" s="77"/>
      <c r="F41" s="69">
        <f>M37*H12</f>
        <v>0.2132061011254206</v>
      </c>
      <c r="G41" s="77"/>
      <c r="H41" s="77" t="s">
        <v>70</v>
      </c>
      <c r="I41" s="77"/>
      <c r="J41" s="77"/>
      <c r="K41" s="77"/>
      <c r="L41" s="77"/>
      <c r="M41" s="78">
        <f>M38</f>
        <v>0.71715609634270527</v>
      </c>
      <c r="N41" s="79"/>
      <c r="O41" t="s">
        <v>73</v>
      </c>
    </row>
    <row r="42" spans="2:15" x14ac:dyDescent="0.2">
      <c r="B42" s="71"/>
      <c r="C42" s="72"/>
      <c r="D42" s="72"/>
      <c r="E42" s="72"/>
      <c r="F42" s="74">
        <f>F40+F41</f>
        <v>0.93036219746812587</v>
      </c>
      <c r="G42" s="72"/>
      <c r="H42" s="72"/>
      <c r="I42" s="72"/>
      <c r="J42" s="72"/>
      <c r="K42" s="72"/>
      <c r="L42" s="72"/>
      <c r="M42" s="73">
        <f>M38</f>
        <v>0.71715609634270527</v>
      </c>
      <c r="N42" s="75"/>
      <c r="O42" t="s">
        <v>74</v>
      </c>
    </row>
    <row r="44" spans="2:15" x14ac:dyDescent="0.2">
      <c r="B44" s="64">
        <f>7*K14</f>
        <v>7</v>
      </c>
      <c r="C44" s="54" t="s">
        <v>62</v>
      </c>
      <c r="D44" s="54"/>
      <c r="E44" s="54"/>
      <c r="F44" s="57">
        <f>F42</f>
        <v>0.93036219746812587</v>
      </c>
      <c r="G44" s="54"/>
      <c r="H44" s="54"/>
      <c r="I44" s="54"/>
      <c r="J44" s="54"/>
      <c r="K44" s="54"/>
      <c r="L44" s="54"/>
      <c r="M44" s="65">
        <f>F42</f>
        <v>0.93036219746812587</v>
      </c>
      <c r="N44" s="58"/>
      <c r="O44" t="s">
        <v>74</v>
      </c>
    </row>
    <row r="45" spans="2:15" x14ac:dyDescent="0.2">
      <c r="B45" s="66"/>
      <c r="C45" s="67"/>
      <c r="D45" s="67"/>
      <c r="E45" s="67"/>
      <c r="F45" s="68">
        <f>F42</f>
        <v>0.93036219746812587</v>
      </c>
      <c r="G45" s="67"/>
      <c r="H45" s="67"/>
      <c r="I45" s="67"/>
      <c r="J45" s="67"/>
      <c r="K45" s="67" t="s">
        <v>72</v>
      </c>
      <c r="L45" s="67"/>
      <c r="M45" s="81">
        <f>F41*H11</f>
        <v>-0.13370552104475528</v>
      </c>
      <c r="N45" s="70"/>
      <c r="O45" t="s">
        <v>73</v>
      </c>
    </row>
    <row r="46" spans="2:15" x14ac:dyDescent="0.2">
      <c r="B46" s="71"/>
      <c r="C46" s="72"/>
      <c r="D46" s="72"/>
      <c r="E46" s="72"/>
      <c r="F46" s="73">
        <f>F42</f>
        <v>0.93036219746812587</v>
      </c>
      <c r="G46" s="72"/>
      <c r="H46" s="72"/>
      <c r="I46" s="72"/>
      <c r="J46" s="72"/>
      <c r="K46" s="72"/>
      <c r="L46" s="72"/>
      <c r="M46" s="74">
        <f>M44+M45</f>
        <v>0.79665667642337057</v>
      </c>
      <c r="N46" s="75"/>
      <c r="O46" t="s">
        <v>74</v>
      </c>
    </row>
    <row r="48" spans="2:15" x14ac:dyDescent="0.2">
      <c r="B48" s="64">
        <f>8*K14</f>
        <v>8</v>
      </c>
      <c r="C48" s="54" t="s">
        <v>62</v>
      </c>
      <c r="D48" s="54"/>
      <c r="E48" s="54"/>
      <c r="F48" s="65">
        <f>M46</f>
        <v>0.79665667642337057</v>
      </c>
      <c r="G48" s="54"/>
      <c r="H48" s="54"/>
      <c r="I48" s="54"/>
      <c r="J48" s="54"/>
      <c r="K48" s="54"/>
      <c r="L48" s="54"/>
      <c r="M48" s="57">
        <f>M46</f>
        <v>0.79665667642337057</v>
      </c>
      <c r="N48" s="58"/>
      <c r="O48" t="s">
        <v>74</v>
      </c>
    </row>
    <row r="49" spans="2:15" x14ac:dyDescent="0.2">
      <c r="B49" s="76"/>
      <c r="C49" s="77"/>
      <c r="D49" s="77"/>
      <c r="E49" s="77"/>
      <c r="F49" s="82">
        <f>M45*H12</f>
        <v>0.12824815283884688</v>
      </c>
      <c r="G49" s="77"/>
      <c r="H49" s="77" t="s">
        <v>70</v>
      </c>
      <c r="I49" s="77"/>
      <c r="J49" s="77"/>
      <c r="K49" s="77"/>
      <c r="L49" s="77"/>
      <c r="M49" s="78">
        <f>M46</f>
        <v>0.79665667642337057</v>
      </c>
      <c r="N49" s="79"/>
      <c r="O49" t="s">
        <v>73</v>
      </c>
    </row>
    <row r="50" spans="2:15" x14ac:dyDescent="0.2">
      <c r="B50" s="71"/>
      <c r="C50" s="72"/>
      <c r="D50" s="72"/>
      <c r="E50" s="72"/>
      <c r="F50" s="74">
        <f>F48+F49</f>
        <v>0.92490482926221751</v>
      </c>
      <c r="G50" s="72"/>
      <c r="H50" s="72"/>
      <c r="I50" s="72"/>
      <c r="J50" s="72"/>
      <c r="K50" s="72"/>
      <c r="L50" s="72"/>
      <c r="M50" s="73">
        <f>M46</f>
        <v>0.79665667642337057</v>
      </c>
      <c r="N50" s="75"/>
      <c r="O50" t="s">
        <v>74</v>
      </c>
    </row>
    <row r="54" spans="2:15" x14ac:dyDescent="0.2">
      <c r="D54" t="s">
        <v>76</v>
      </c>
      <c r="E54" s="48">
        <f>F18</f>
        <v>0.97959183673469385</v>
      </c>
      <c r="F54" s="48">
        <f>F20</f>
        <v>0.97959183673469385</v>
      </c>
      <c r="G54" s="48">
        <f>F26</f>
        <v>0.95451753859620636</v>
      </c>
      <c r="H54" s="48">
        <f>F28</f>
        <v>0.95451753859620636</v>
      </c>
      <c r="I54" s="48">
        <f>F34</f>
        <v>0.93943479751601611</v>
      </c>
      <c r="J54" s="48">
        <f>F36</f>
        <v>0.93943479751601611</v>
      </c>
      <c r="K54" s="48">
        <f>F42</f>
        <v>0.93036219746812587</v>
      </c>
      <c r="L54" s="48">
        <f>F44</f>
        <v>0.93036219746812587</v>
      </c>
      <c r="M54" s="48">
        <f>F50</f>
        <v>0.92490482926221751</v>
      </c>
    </row>
    <row r="55" spans="2:15" x14ac:dyDescent="0.2">
      <c r="D55" t="s">
        <v>77</v>
      </c>
      <c r="E55" s="48">
        <f>M18</f>
        <v>0</v>
      </c>
      <c r="F55" s="48">
        <f>M22</f>
        <v>0.36527153234175025</v>
      </c>
      <c r="G55" s="48">
        <f>M24</f>
        <v>0.36527153234175025</v>
      </c>
      <c r="H55" s="48">
        <f>M30</f>
        <v>0.58499038213154742</v>
      </c>
      <c r="I55" s="48">
        <f>M32</f>
        <v>0.58499038213154742</v>
      </c>
      <c r="J55" s="48">
        <f>M38</f>
        <v>0.71715609634270527</v>
      </c>
      <c r="K55" s="48">
        <f>M40</f>
        <v>0.71715609634270527</v>
      </c>
      <c r="L55" s="48">
        <f>M46</f>
        <v>0.79665667642337057</v>
      </c>
      <c r="M55" s="48">
        <f>M48</f>
        <v>0.79665667642337057</v>
      </c>
    </row>
    <row r="56" spans="2:15" x14ac:dyDescent="0.2">
      <c r="D56" t="s">
        <v>78</v>
      </c>
      <c r="E56">
        <v>0</v>
      </c>
      <c r="F56" s="48">
        <f>B20</f>
        <v>1</v>
      </c>
      <c r="G56" s="83">
        <f>B24</f>
        <v>2</v>
      </c>
      <c r="H56">
        <f>B28</f>
        <v>3</v>
      </c>
      <c r="I56">
        <f>B32</f>
        <v>4</v>
      </c>
      <c r="J56">
        <f>B36</f>
        <v>5</v>
      </c>
      <c r="K56">
        <f>B40</f>
        <v>6</v>
      </c>
      <c r="L56">
        <f>B44</f>
        <v>7</v>
      </c>
      <c r="M56" s="48">
        <f>B48</f>
        <v>8</v>
      </c>
    </row>
  </sheetData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36"/>
  <sheetViews>
    <sheetView zoomScale="130" zoomScaleNormal="130" workbookViewId="0">
      <selection activeCell="C37" sqref="C37"/>
    </sheetView>
  </sheetViews>
  <sheetFormatPr baseColWidth="10" defaultColWidth="11" defaultRowHeight="16" x14ac:dyDescent="0.2"/>
  <cols>
    <col min="1" max="1" width="12.6640625" style="84" customWidth="1"/>
    <col min="2" max="2" width="12.1640625" style="84" customWidth="1"/>
    <col min="3" max="3" width="13.6640625" style="84" customWidth="1"/>
    <col min="4" max="5" width="11" style="85"/>
    <col min="6" max="21" width="11" style="86"/>
    <col min="22" max="22" width="18" style="86" customWidth="1"/>
    <col min="23" max="1024" width="11" style="86"/>
  </cols>
  <sheetData>
    <row r="1" spans="1:6" x14ac:dyDescent="0.2">
      <c r="A1" s="87" t="s">
        <v>79</v>
      </c>
      <c r="C1" s="84" t="s">
        <v>80</v>
      </c>
      <c r="D1" s="84" t="s">
        <v>81</v>
      </c>
      <c r="E1" s="84"/>
      <c r="F1" s="87" t="s">
        <v>79</v>
      </c>
    </row>
    <row r="2" spans="1:6" x14ac:dyDescent="0.2">
      <c r="A2" s="84" t="s">
        <v>82</v>
      </c>
      <c r="C2" s="88">
        <v>100</v>
      </c>
      <c r="D2" s="89">
        <v>180</v>
      </c>
    </row>
    <row r="3" spans="1:6" x14ac:dyDescent="0.2">
      <c r="A3" s="84" t="s">
        <v>83</v>
      </c>
      <c r="C3" s="90">
        <v>380</v>
      </c>
      <c r="D3" s="85">
        <f>C3</f>
        <v>380</v>
      </c>
    </row>
    <row r="4" spans="1:6" x14ac:dyDescent="0.2">
      <c r="A4" s="84" t="s">
        <v>84</v>
      </c>
      <c r="C4" s="90">
        <v>1700</v>
      </c>
      <c r="D4" s="85">
        <f>C4</f>
        <v>1700</v>
      </c>
    </row>
    <row r="5" spans="1:6" x14ac:dyDescent="0.2">
      <c r="A5" s="84" t="s">
        <v>85</v>
      </c>
      <c r="C5" s="91">
        <f>C4/(SQRT(3)*C3)</f>
        <v>2.5828827832167471</v>
      </c>
      <c r="D5" s="91">
        <f>D4/(SQRT(3)*D3)</f>
        <v>2.5828827832167471</v>
      </c>
      <c r="E5" s="91"/>
    </row>
    <row r="6" spans="1:6" x14ac:dyDescent="0.2">
      <c r="A6" s="87" t="s">
        <v>86</v>
      </c>
      <c r="C6" s="90">
        <v>21.9</v>
      </c>
      <c r="D6" s="85">
        <f>C6</f>
        <v>21.9</v>
      </c>
    </row>
    <row r="7" spans="1:6" x14ac:dyDescent="0.2">
      <c r="A7" s="87" t="s">
        <v>87</v>
      </c>
      <c r="C7" s="90">
        <v>4</v>
      </c>
      <c r="D7" s="85">
        <f>C7</f>
        <v>4</v>
      </c>
    </row>
    <row r="8" spans="1:6" x14ac:dyDescent="0.2">
      <c r="A8" s="87" t="s">
        <v>88</v>
      </c>
      <c r="C8" s="92">
        <f>C6^2*PI()*C7/4</f>
        <v>1506.7392525882005</v>
      </c>
      <c r="D8" s="92">
        <f>D6^2*PI()*D7/4</f>
        <v>1506.7392525882005</v>
      </c>
      <c r="E8" s="92"/>
    </row>
    <row r="9" spans="1:6" x14ac:dyDescent="0.2">
      <c r="A9" s="87" t="s">
        <v>89</v>
      </c>
      <c r="C9" s="91">
        <f>1000*C5/C8</f>
        <v>1.7142201471024276</v>
      </c>
      <c r="D9" s="91">
        <f>1000*D5/D8</f>
        <v>1.7142201471024276</v>
      </c>
      <c r="E9" s="91"/>
    </row>
    <row r="10" spans="1:6" x14ac:dyDescent="0.2">
      <c r="A10" s="84" t="s">
        <v>90</v>
      </c>
      <c r="C10" s="90">
        <v>3.1E-2</v>
      </c>
      <c r="D10" s="85">
        <f>C10</f>
        <v>3.1E-2</v>
      </c>
    </row>
    <row r="11" spans="1:6" x14ac:dyDescent="0.2">
      <c r="A11" s="84" t="s">
        <v>91</v>
      </c>
      <c r="C11" s="90">
        <v>0.26</v>
      </c>
      <c r="D11" s="85">
        <f>C11</f>
        <v>0.26</v>
      </c>
    </row>
    <row r="12" spans="1:6" x14ac:dyDescent="0.2">
      <c r="A12" s="84" t="s">
        <v>92</v>
      </c>
      <c r="C12" s="90">
        <v>14.4</v>
      </c>
      <c r="D12" s="85">
        <f>C12</f>
        <v>14.4</v>
      </c>
    </row>
    <row r="13" spans="1:6" x14ac:dyDescent="0.2">
      <c r="A13" s="84" t="s">
        <v>93</v>
      </c>
      <c r="C13" s="90">
        <v>240</v>
      </c>
      <c r="D13" s="85">
        <f>C13</f>
        <v>240</v>
      </c>
    </row>
    <row r="14" spans="1:6" x14ac:dyDescent="0.2">
      <c r="A14" s="84" t="s">
        <v>94</v>
      </c>
      <c r="C14" s="92">
        <f>C3^2/C13</f>
        <v>601.66666666666663</v>
      </c>
      <c r="D14" s="92">
        <f>D3^2/D13</f>
        <v>601.66666666666663</v>
      </c>
      <c r="E14" s="92"/>
    </row>
    <row r="15" spans="1:6" x14ac:dyDescent="0.2">
      <c r="A15" s="93" t="s">
        <v>95</v>
      </c>
      <c r="B15" s="94"/>
      <c r="C15" s="95">
        <f>C10*C2</f>
        <v>3.1</v>
      </c>
      <c r="D15" s="96">
        <f>D10*D2</f>
        <v>5.58</v>
      </c>
      <c r="E15" s="84"/>
    </row>
    <row r="16" spans="1:6" x14ac:dyDescent="0.2">
      <c r="A16" s="97" t="s">
        <v>96</v>
      </c>
      <c r="C16" s="98">
        <f>C11*C2</f>
        <v>26</v>
      </c>
      <c r="D16" s="99">
        <f>D11*D2</f>
        <v>46.800000000000004</v>
      </c>
      <c r="E16" s="84"/>
    </row>
    <row r="17" spans="1:34" x14ac:dyDescent="0.2">
      <c r="A17" s="100" t="s">
        <v>97</v>
      </c>
      <c r="B17" s="101"/>
      <c r="C17" s="102">
        <f>C2*C12/100</f>
        <v>14.4</v>
      </c>
      <c r="D17" s="103">
        <f>D2*D12/100</f>
        <v>25.92</v>
      </c>
      <c r="E17" s="84"/>
    </row>
    <row r="19" spans="1:34" x14ac:dyDescent="0.2">
      <c r="A19" s="104" t="s">
        <v>98</v>
      </c>
      <c r="B19" s="105"/>
      <c r="C19" s="106">
        <f>C5*C5*C16</f>
        <v>173.45337026777474</v>
      </c>
      <c r="D19" s="107">
        <f>D5*D5*D16</f>
        <v>312.21606648199457</v>
      </c>
      <c r="E19" s="92"/>
    </row>
    <row r="21" spans="1:34" x14ac:dyDescent="0.2">
      <c r="A21" s="108" t="s">
        <v>99</v>
      </c>
      <c r="B21" s="94"/>
      <c r="C21" s="94"/>
      <c r="D21" s="109"/>
    </row>
    <row r="22" spans="1:34" x14ac:dyDescent="0.2">
      <c r="A22" s="97" t="s">
        <v>100</v>
      </c>
      <c r="C22" s="90">
        <v>2</v>
      </c>
      <c r="D22" s="110"/>
    </row>
    <row r="23" spans="1:34" x14ac:dyDescent="0.2">
      <c r="A23" s="97" t="s">
        <v>101</v>
      </c>
      <c r="C23" s="91">
        <f>1000/(2*PI()*50*C22)</f>
        <v>1.5915494309189533</v>
      </c>
      <c r="D23" s="110"/>
    </row>
    <row r="24" spans="1:34" x14ac:dyDescent="0.2">
      <c r="A24" s="97" t="s">
        <v>102</v>
      </c>
      <c r="C24" s="91">
        <f>C23*C5</f>
        <v>4.1107856237589759</v>
      </c>
      <c r="D24" s="110"/>
      <c r="L24" s="85"/>
      <c r="M24" s="85"/>
      <c r="N24" s="85" t="s">
        <v>103</v>
      </c>
      <c r="Q24" s="86" t="s">
        <v>104</v>
      </c>
    </row>
    <row r="25" spans="1:34" x14ac:dyDescent="0.2">
      <c r="A25" s="97" t="s">
        <v>105</v>
      </c>
      <c r="C25" s="111">
        <f>C5*C5*C23</f>
        <v>10.617677413101976</v>
      </c>
      <c r="D25" s="110"/>
      <c r="L25" s="85" t="s">
        <v>85</v>
      </c>
      <c r="M25" s="85" t="s">
        <v>84</v>
      </c>
      <c r="N25" s="85" t="s">
        <v>98</v>
      </c>
      <c r="O25" s="85" t="s">
        <v>106</v>
      </c>
      <c r="P25" s="85" t="s">
        <v>107</v>
      </c>
      <c r="Q25" s="85" t="s">
        <v>108</v>
      </c>
      <c r="R25" s="85"/>
      <c r="T25" s="85" t="s">
        <v>109</v>
      </c>
      <c r="U25" s="85" t="s">
        <v>110</v>
      </c>
      <c r="V25" s="85" t="s">
        <v>111</v>
      </c>
      <c r="Y25" s="112" t="s">
        <v>112</v>
      </c>
      <c r="AC25" s="113" t="s">
        <v>113</v>
      </c>
      <c r="AG25" s="86" t="s">
        <v>114</v>
      </c>
      <c r="AH25" s="86" t="s">
        <v>115</v>
      </c>
    </row>
    <row r="26" spans="1:34" x14ac:dyDescent="0.2">
      <c r="A26" s="100" t="s">
        <v>116</v>
      </c>
      <c r="B26" s="101"/>
      <c r="C26" s="114">
        <f>C19/C25</f>
        <v>16.336281798666924</v>
      </c>
      <c r="D26" s="115">
        <f>D19/C25</f>
        <v>29.405307237600471</v>
      </c>
      <c r="E26" s="92"/>
      <c r="F26" s="86" t="s">
        <v>117</v>
      </c>
      <c r="L26" s="85">
        <f>4*800/1000</f>
        <v>3.2</v>
      </c>
      <c r="M26" s="116">
        <f>SQRT(3)*L26*$C$3</f>
        <v>2106.1737820037547</v>
      </c>
      <c r="N26" s="116">
        <f>L26*L26*$C$16</f>
        <v>266.24000000000007</v>
      </c>
      <c r="O26" s="117">
        <f>N26/$C$19</f>
        <v>1.5349370242214533</v>
      </c>
      <c r="P26" s="116">
        <f>M26/(3*L26*L26)</f>
        <v>68.560344466268049</v>
      </c>
      <c r="Q26" s="118">
        <f>(P26-$C$31)/(P26+$C$31)</f>
        <v>-0.55522869530280983</v>
      </c>
      <c r="R26" s="118"/>
      <c r="T26" s="118">
        <f>COS(C36)</f>
        <v>0.99412470077349513</v>
      </c>
      <c r="U26" s="118">
        <f>-SIN(C36)</f>
        <v>-0.10824083939072504</v>
      </c>
      <c r="V26" s="119" t="str">
        <f>COMPLEX(T26,U26)</f>
        <v>0,994124700773495-0,108240839390725i</v>
      </c>
      <c r="W26" s="86">
        <f>C2</f>
        <v>100</v>
      </c>
      <c r="X26" s="86" t="s">
        <v>118</v>
      </c>
      <c r="Y26" s="86" t="str">
        <f>IMPRODUCT(V26,Q26)</f>
        <v>-0,551966560578764+0,0600984200333932i</v>
      </c>
      <c r="AC26" s="86" t="str">
        <f>IMDIV(IMSUM(1,Y26),IMSUM(1,IMPRODUCT(-1,Y26)))</f>
        <v>0,286757999990499+0,0498284722938355i</v>
      </c>
      <c r="AG26" s="120">
        <f>$C$31*IMREAL(AC26)</f>
        <v>68.745778481218238</v>
      </c>
      <c r="AH26" s="120">
        <f>$C$31*IMAGINARY(AC26)</f>
        <v>11.945602628289468</v>
      </c>
    </row>
    <row r="27" spans="1:34" x14ac:dyDescent="0.2">
      <c r="F27" s="86" t="s">
        <v>119</v>
      </c>
      <c r="L27" s="85">
        <f>4*1000/1000</f>
        <v>4</v>
      </c>
      <c r="M27" s="116">
        <f>SQRT(3)*L27*$C$3</f>
        <v>2632.7172275046933</v>
      </c>
      <c r="N27" s="116">
        <f>L27*L27*$C$16</f>
        <v>416</v>
      </c>
      <c r="O27" s="117">
        <f>N27/$C$19</f>
        <v>2.3983391003460199</v>
      </c>
      <c r="P27" s="116">
        <f>M27/(3*L27*L27)</f>
        <v>54.84827557301444</v>
      </c>
      <c r="Q27" s="118">
        <f>(P27-$C$31)/(P27+$C$31)</f>
        <v>-0.62762058857611036</v>
      </c>
      <c r="R27" s="118"/>
      <c r="T27" s="118">
        <f>COS(D36)</f>
        <v>0.9810057973036389</v>
      </c>
      <c r="U27" s="118">
        <f>-SIN(D36)</f>
        <v>-0.19397841544009908</v>
      </c>
      <c r="V27" s="119" t="str">
        <f>COMPLEX(T27,U27)</f>
        <v>0,981005797303639-0,193978415440099i</v>
      </c>
      <c r="W27" s="86">
        <f>D2</f>
        <v>180</v>
      </c>
      <c r="X27" s="86" t="s">
        <v>118</v>
      </c>
      <c r="Y27" s="86" t="str">
        <f>IMPRODUCT(V27,Q27)</f>
        <v>-0,615699435900286+0,121744847269576i</v>
      </c>
      <c r="AC27" s="86" t="str">
        <f>IMDIV(IMSUM(1,Y27),IMSUM(1,IMPRODUCT(-1,Y27)))</f>
        <v>0,230865387552201+0,0927471504212359i</v>
      </c>
      <c r="AG27" s="120">
        <f>$C$31*IMREAL(AC27)</f>
        <v>55.346392401153786</v>
      </c>
      <c r="AH27" s="120">
        <f>$C$31*IMAGINARY(AC27)</f>
        <v>22.234689382105337</v>
      </c>
    </row>
    <row r="28" spans="1:34" x14ac:dyDescent="0.2">
      <c r="F28" s="86" t="s">
        <v>120</v>
      </c>
      <c r="L28" s="118">
        <v>0.91500000000000004</v>
      </c>
      <c r="M28" s="116">
        <f>SQRT(3)*L28*$C$3</f>
        <v>602.23406579169864</v>
      </c>
      <c r="N28" s="116">
        <f>L28*L28*$C$16</f>
        <v>21.767850000000003</v>
      </c>
      <c r="O28" s="117">
        <f>N28/$C$19</f>
        <v>0.12549684083044982</v>
      </c>
      <c r="P28" s="116">
        <f>M28/(3*L28*L28)</f>
        <v>239.77388228640191</v>
      </c>
      <c r="Q28" s="118">
        <f>(P28-$C$31)/(P28+$C$31)</f>
        <v>8.2183406222229502E-5</v>
      </c>
      <c r="R28" s="118"/>
    </row>
    <row r="29" spans="1:34" x14ac:dyDescent="0.2">
      <c r="A29" s="93" t="s">
        <v>121</v>
      </c>
      <c r="B29" s="94" t="s">
        <v>122</v>
      </c>
      <c r="C29" s="121">
        <f>1000*C11/(2*PI()*50)</f>
        <v>0.82760570407785572</v>
      </c>
      <c r="D29" s="109" t="s">
        <v>123</v>
      </c>
    </row>
    <row r="30" spans="1:34" x14ac:dyDescent="0.2">
      <c r="A30" s="97"/>
      <c r="B30" s="84" t="s">
        <v>124</v>
      </c>
      <c r="C30" s="122">
        <f>10^9/SQRT(C29*C12)</f>
        <v>289672332.45865071</v>
      </c>
      <c r="D30" s="110" t="s">
        <v>59</v>
      </c>
    </row>
    <row r="31" spans="1:34" x14ac:dyDescent="0.2">
      <c r="A31" s="97"/>
      <c r="B31" s="84" t="s">
        <v>125</v>
      </c>
      <c r="C31" s="92">
        <f>SQRT((C29*1000000)/C12)</f>
        <v>239.73447465631634</v>
      </c>
      <c r="D31" s="110" t="s">
        <v>51</v>
      </c>
    </row>
    <row r="32" spans="1:34" x14ac:dyDescent="0.2">
      <c r="A32" s="100"/>
      <c r="B32" s="101" t="s">
        <v>126</v>
      </c>
      <c r="C32" s="114">
        <f>C30/(50*1000)</f>
        <v>5793.4466491730145</v>
      </c>
      <c r="D32" s="123" t="s">
        <v>118</v>
      </c>
    </row>
    <row r="33" spans="1:4" x14ac:dyDescent="0.2">
      <c r="A33" s="93"/>
      <c r="B33" s="94" t="s">
        <v>127</v>
      </c>
      <c r="C33" s="124">
        <f>C3*C3/C31</f>
        <v>602.33306122121996</v>
      </c>
      <c r="D33" s="125" t="s">
        <v>128</v>
      </c>
    </row>
    <row r="34" spans="1:4" x14ac:dyDescent="0.2">
      <c r="A34" s="100"/>
      <c r="B34" s="101" t="s">
        <v>129</v>
      </c>
      <c r="C34" s="126">
        <f>C3/(SQRT(3)*C31)</f>
        <v>0.91515040799442815</v>
      </c>
      <c r="D34" s="123" t="s">
        <v>130</v>
      </c>
    </row>
    <row r="35" spans="1:4" x14ac:dyDescent="0.2">
      <c r="B35" s="84" t="s">
        <v>131</v>
      </c>
      <c r="C35" s="127">
        <f>C2/$C$32</f>
        <v>1.7260882175254778E-2</v>
      </c>
      <c r="D35" s="127">
        <f>D2/$C$32</f>
        <v>3.1069587915458597E-2</v>
      </c>
    </row>
    <row r="36" spans="1:4" x14ac:dyDescent="0.2">
      <c r="B36" s="84" t="s">
        <v>132</v>
      </c>
      <c r="C36" s="127">
        <f>C35*2*PI()</f>
        <v>0.10845332127251883</v>
      </c>
      <c r="D36" s="127">
        <f>D35*2*PI()</f>
        <v>0.19521597829053389</v>
      </c>
    </row>
  </sheetData>
  <pageMargins left="0.7" right="0.7" top="0.78749999999999998" bottom="0.78749999999999998" header="0.51180555555555496" footer="0.51180555555555496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71"/>
  <sheetViews>
    <sheetView zoomScale="110" zoomScaleNormal="110" workbookViewId="0">
      <selection activeCell="D3" sqref="D3"/>
    </sheetView>
  </sheetViews>
  <sheetFormatPr baseColWidth="10" defaultColWidth="11" defaultRowHeight="16" x14ac:dyDescent="0.2"/>
  <cols>
    <col min="1" max="1" width="12.1640625" style="86" customWidth="1"/>
    <col min="2" max="3" width="11" style="86"/>
    <col min="4" max="4" width="12.6640625" style="86" customWidth="1"/>
    <col min="5" max="9" width="11" style="86"/>
    <col min="10" max="10" width="34.6640625" style="86" customWidth="1"/>
    <col min="11" max="11" width="12.1640625" style="86" customWidth="1"/>
    <col min="12" max="1024" width="11" style="86"/>
  </cols>
  <sheetData>
    <row r="1" spans="1:21" x14ac:dyDescent="0.2">
      <c r="A1" s="86" t="s">
        <v>121</v>
      </c>
      <c r="B1" s="86" t="s">
        <v>133</v>
      </c>
      <c r="D1" s="86">
        <f>Leitungseigenschaften_bis_380kV!C10</f>
        <v>3.1E-2</v>
      </c>
      <c r="E1" s="86" t="s">
        <v>134</v>
      </c>
      <c r="I1" s="86" t="s">
        <v>22</v>
      </c>
      <c r="J1" s="86">
        <f>D1*D4</f>
        <v>0.155</v>
      </c>
      <c r="K1" s="86" t="s">
        <v>51</v>
      </c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1:21" x14ac:dyDescent="0.2">
      <c r="B2" s="86" t="s">
        <v>135</v>
      </c>
      <c r="D2" s="86">
        <f>Leitungseigenschaften_bis_380kV!C11</f>
        <v>0.26</v>
      </c>
      <c r="E2" s="86" t="s">
        <v>134</v>
      </c>
      <c r="I2" s="86" t="s">
        <v>27</v>
      </c>
      <c r="J2" s="86">
        <f>D2*D4</f>
        <v>1.3</v>
      </c>
      <c r="K2" s="86" t="s">
        <v>51</v>
      </c>
      <c r="L2" s="128"/>
      <c r="M2" s="128"/>
      <c r="N2" s="128"/>
      <c r="O2" s="128"/>
      <c r="P2" s="128"/>
      <c r="Q2" s="128"/>
      <c r="R2" s="128"/>
      <c r="S2" s="128"/>
      <c r="T2" s="128"/>
      <c r="U2" s="128"/>
    </row>
    <row r="3" spans="1:21" x14ac:dyDescent="0.2">
      <c r="B3" s="86" t="s">
        <v>136</v>
      </c>
      <c r="D3" s="86">
        <f>Leitungseigenschaften_bis_380kV!C12</f>
        <v>14.4</v>
      </c>
      <c r="E3" s="86" t="s">
        <v>137</v>
      </c>
      <c r="I3" s="86" t="s">
        <v>138</v>
      </c>
      <c r="J3" s="86">
        <f>D3*D4</f>
        <v>72</v>
      </c>
      <c r="K3" s="86" t="s">
        <v>139</v>
      </c>
      <c r="L3" s="128"/>
      <c r="M3" s="128"/>
      <c r="N3" s="128"/>
      <c r="O3" s="128"/>
      <c r="P3" s="128"/>
      <c r="Q3" s="128"/>
      <c r="R3" s="128"/>
      <c r="S3" s="128"/>
      <c r="T3" s="128"/>
      <c r="U3" s="128"/>
    </row>
    <row r="4" spans="1:21" x14ac:dyDescent="0.2">
      <c r="B4" s="86" t="s">
        <v>140</v>
      </c>
      <c r="D4" s="129">
        <v>5</v>
      </c>
      <c r="E4" s="86" t="s">
        <v>118</v>
      </c>
      <c r="I4" s="86" t="s">
        <v>141</v>
      </c>
      <c r="J4" s="130">
        <f>-1/(J3*2*PI()*50/1000000000)</f>
        <v>-44209.706414415377</v>
      </c>
      <c r="K4" s="86" t="s">
        <v>51</v>
      </c>
      <c r="L4" s="128"/>
      <c r="M4" s="128"/>
      <c r="N4" s="128"/>
      <c r="O4" s="128"/>
      <c r="P4" s="128"/>
      <c r="Q4" s="128"/>
      <c r="R4" s="128"/>
      <c r="S4" s="128"/>
      <c r="T4" s="128"/>
      <c r="U4" s="128"/>
    </row>
    <row r="5" spans="1:21" x14ac:dyDescent="0.2">
      <c r="B5" s="86" t="s">
        <v>142</v>
      </c>
      <c r="D5" s="129">
        <v>80</v>
      </c>
      <c r="E5" s="86" t="s">
        <v>51</v>
      </c>
      <c r="F5" s="131" t="s">
        <v>41</v>
      </c>
      <c r="G5" s="132">
        <f>Leitungseigenschaften_bis_380kV!C3/(D5*SQRT(3))</f>
        <v>2.7424137786507226</v>
      </c>
      <c r="H5" s="133" t="s">
        <v>130</v>
      </c>
      <c r="I5" s="113" t="s">
        <v>143</v>
      </c>
      <c r="J5" s="86" t="str">
        <f>COMPLEX(0,J4)</f>
        <v>-44209,7064144154i</v>
      </c>
      <c r="L5" s="128"/>
      <c r="M5" s="128"/>
      <c r="N5" s="128"/>
      <c r="O5" s="128"/>
      <c r="P5" s="128"/>
      <c r="Q5" s="128"/>
      <c r="R5" s="128"/>
      <c r="S5" s="128"/>
      <c r="T5" s="128"/>
      <c r="U5" s="128"/>
    </row>
    <row r="6" spans="1:21" x14ac:dyDescent="0.2">
      <c r="B6" s="86" t="s">
        <v>144</v>
      </c>
      <c r="D6" s="129">
        <v>2800</v>
      </c>
      <c r="E6" s="86" t="s">
        <v>145</v>
      </c>
      <c r="F6" s="134" t="s">
        <v>146</v>
      </c>
      <c r="G6" s="135">
        <f>G5*SQRT(3)*Leitungseigenschaften_bis_380kV!C3</f>
        <v>1805</v>
      </c>
      <c r="H6" s="136" t="s">
        <v>147</v>
      </c>
      <c r="I6" s="86" t="s">
        <v>148</v>
      </c>
      <c r="J6" s="137">
        <f>-1/(2*PI()*50*D6*10^-6)</f>
        <v>-1.1368210220849666</v>
      </c>
      <c r="K6" s="86" t="s">
        <v>51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</row>
    <row r="7" spans="1:21" x14ac:dyDescent="0.2">
      <c r="B7" s="86" t="s">
        <v>149</v>
      </c>
      <c r="D7" s="129">
        <v>100</v>
      </c>
      <c r="I7" s="138" t="s">
        <v>150</v>
      </c>
      <c r="J7" s="139">
        <f>SQRT(10^9*((D2+((J6*C11)/D4))/(2*PI()*50))/D3)</f>
        <v>239.73447465631634</v>
      </c>
      <c r="K7" s="140" t="s">
        <v>51</v>
      </c>
      <c r="L7" s="128"/>
      <c r="M7" s="128"/>
      <c r="N7" s="128"/>
      <c r="O7" s="128"/>
      <c r="P7" s="128"/>
      <c r="Q7" s="128"/>
      <c r="R7" s="128"/>
      <c r="S7" s="128"/>
      <c r="T7" s="128"/>
      <c r="U7" s="128"/>
    </row>
    <row r="8" spans="1:21" x14ac:dyDescent="0.2">
      <c r="L8" s="128"/>
      <c r="M8" s="128"/>
      <c r="N8" s="128"/>
      <c r="O8" s="128"/>
      <c r="P8" s="128"/>
      <c r="Q8" s="128"/>
      <c r="R8" s="128"/>
      <c r="S8" s="128"/>
      <c r="T8" s="128"/>
      <c r="U8" s="128"/>
    </row>
    <row r="9" spans="1:21" x14ac:dyDescent="0.2">
      <c r="A9" s="195" t="s">
        <v>151</v>
      </c>
      <c r="B9" s="195"/>
      <c r="C9" s="195"/>
      <c r="D9" s="195" t="s">
        <v>152</v>
      </c>
      <c r="E9" s="195"/>
      <c r="F9" s="195"/>
      <c r="G9" s="195"/>
      <c r="H9" s="195"/>
      <c r="I9" s="195" t="s">
        <v>153</v>
      </c>
      <c r="J9" s="195"/>
      <c r="K9" s="195"/>
      <c r="L9" s="128"/>
      <c r="M9" s="128"/>
      <c r="N9" s="128"/>
      <c r="O9" s="128"/>
      <c r="P9" s="128"/>
      <c r="Q9" s="128"/>
      <c r="R9" s="128"/>
      <c r="S9" s="128"/>
      <c r="T9" s="128"/>
      <c r="U9" s="128"/>
    </row>
    <row r="10" spans="1:21" x14ac:dyDescent="0.2">
      <c r="A10" s="141" t="s">
        <v>10</v>
      </c>
      <c r="B10" s="142" t="s">
        <v>154</v>
      </c>
      <c r="C10" s="109" t="s">
        <v>155</v>
      </c>
      <c r="D10" s="141" t="s">
        <v>156</v>
      </c>
      <c r="E10" s="143" t="s">
        <v>157</v>
      </c>
      <c r="F10" s="143" t="s">
        <v>158</v>
      </c>
      <c r="G10" s="143" t="s">
        <v>159</v>
      </c>
      <c r="H10" s="109" t="s">
        <v>160</v>
      </c>
      <c r="I10" s="144" t="s">
        <v>161</v>
      </c>
      <c r="J10" s="143" t="s">
        <v>162</v>
      </c>
      <c r="K10" s="109" t="s">
        <v>163</v>
      </c>
      <c r="L10" s="128"/>
      <c r="M10" s="128"/>
      <c r="N10" s="128"/>
      <c r="O10" s="128"/>
      <c r="P10" s="128"/>
      <c r="Q10" s="128"/>
      <c r="R10" s="128"/>
      <c r="S10" s="128"/>
      <c r="T10" s="128"/>
      <c r="U10" s="128"/>
    </row>
    <row r="11" spans="1:21" x14ac:dyDescent="0.2">
      <c r="A11" s="145">
        <v>0</v>
      </c>
      <c r="B11" s="85">
        <v>0</v>
      </c>
      <c r="C11" s="110">
        <f t="shared" ref="C11:C42" si="0">IF(MOD(A11+$D$7,$D$7)+1=$D$7,1,0)</f>
        <v>0</v>
      </c>
      <c r="D11" s="145">
        <f>D5</f>
        <v>80</v>
      </c>
      <c r="E11" s="146"/>
      <c r="F11" s="85">
        <f t="shared" ref="F11:F42" si="1">SQRT(D11^2+E11^2)</f>
        <v>80</v>
      </c>
      <c r="G11" s="85">
        <f t="shared" ref="G11:G42" si="2">F11/$D$5</f>
        <v>1</v>
      </c>
      <c r="H11" s="110">
        <f t="shared" ref="H11:H42" si="3">COS(ATAN(E11/D11))</f>
        <v>1</v>
      </c>
      <c r="I11" s="145" t="str">
        <f>COMPLEX(D11,E11)</f>
        <v>80</v>
      </c>
      <c r="J11" s="137" t="str">
        <f t="shared" ref="J11:J42" si="4">IMDIV(IMPRODUCT($J$5,I11), IMSUM(I11,$J$5))</f>
        <v>79,9997380410282-0,14476411544763i</v>
      </c>
      <c r="K11" s="147" t="str">
        <f>COMPLEX(J1,J2)</f>
        <v>0,155+1,3i</v>
      </c>
      <c r="L11" s="128"/>
      <c r="M11" s="128"/>
      <c r="N11" s="128"/>
      <c r="O11" s="128"/>
      <c r="P11" s="128"/>
      <c r="Q11" s="128"/>
      <c r="R11" s="128"/>
      <c r="S11" s="128"/>
      <c r="T11" s="128"/>
      <c r="U11" s="128"/>
    </row>
    <row r="12" spans="1:21" x14ac:dyDescent="0.2">
      <c r="A12" s="145">
        <v>1</v>
      </c>
      <c r="B12" s="85">
        <f t="shared" ref="B12:B43" si="5">A12*$D$4</f>
        <v>5</v>
      </c>
      <c r="C12" s="110">
        <f t="shared" si="0"/>
        <v>0</v>
      </c>
      <c r="D12" s="148">
        <f t="shared" ref="D12:D43" si="6">IMREAL(I12)</f>
        <v>80.154738041028196</v>
      </c>
      <c r="E12" s="149">
        <f t="shared" ref="E12:E43" si="7">IMAGINARY(I12)</f>
        <v>1.15523588455237</v>
      </c>
      <c r="F12" s="85">
        <f t="shared" si="1"/>
        <v>80.163062568584607</v>
      </c>
      <c r="G12" s="85">
        <f t="shared" si="2"/>
        <v>1.0020382821073075</v>
      </c>
      <c r="H12" s="110">
        <f t="shared" si="3"/>
        <v>0.99989615507080598</v>
      </c>
      <c r="I12" s="150" t="str">
        <f t="shared" ref="I12:I43" si="8">IMSUM(J11,K11)</f>
        <v>80,1547380410282+1,15523588455237i</v>
      </c>
      <c r="J12" s="137" t="str">
        <f t="shared" si="4"/>
        <v>80,1586637137905+1,00993001158207i</v>
      </c>
      <c r="K12" s="147" t="str">
        <f t="shared" ref="K12:K43" si="9">IMSUM($K$11, COMPLEX(0,C11*$J$6))</f>
        <v>0,155+1,3i</v>
      </c>
      <c r="L12" s="128"/>
      <c r="M12" s="128"/>
      <c r="N12" s="128"/>
      <c r="O12" s="128"/>
      <c r="P12" s="128"/>
      <c r="Q12" s="128"/>
      <c r="R12" s="128"/>
      <c r="S12" s="128"/>
      <c r="T12" s="128"/>
      <c r="U12" s="128"/>
    </row>
    <row r="13" spans="1:21" x14ac:dyDescent="0.2">
      <c r="A13" s="145">
        <v>2</v>
      </c>
      <c r="B13" s="85">
        <f t="shared" si="5"/>
        <v>10</v>
      </c>
      <c r="C13" s="110">
        <f t="shared" si="0"/>
        <v>0</v>
      </c>
      <c r="D13" s="148">
        <f t="shared" si="6"/>
        <v>80.313663713790504</v>
      </c>
      <c r="E13" s="149">
        <f t="shared" si="7"/>
        <v>2.30993001158207</v>
      </c>
      <c r="F13" s="85">
        <f t="shared" si="1"/>
        <v>80.34687520862424</v>
      </c>
      <c r="G13" s="85">
        <f t="shared" si="2"/>
        <v>1.0043359401078029</v>
      </c>
      <c r="H13" s="110">
        <f t="shared" si="3"/>
        <v>0.99958664858157209</v>
      </c>
      <c r="I13" s="150" t="str">
        <f t="shared" si="8"/>
        <v>80,3136637137905+2,30993001158207i</v>
      </c>
      <c r="J13" s="137" t="str">
        <f t="shared" si="4"/>
        <v>80,3217919430964+2,16412631982603i</v>
      </c>
      <c r="K13" s="147" t="str">
        <f t="shared" si="9"/>
        <v>0,155+1,3i</v>
      </c>
      <c r="L13" s="128"/>
      <c r="M13" s="128"/>
      <c r="N13" s="128"/>
      <c r="O13" s="128"/>
      <c r="P13" s="128"/>
      <c r="Q13" s="128"/>
      <c r="R13" s="128"/>
      <c r="S13" s="128"/>
      <c r="T13" s="128"/>
      <c r="U13" s="128"/>
    </row>
    <row r="14" spans="1:21" x14ac:dyDescent="0.2">
      <c r="A14" s="145">
        <v>3</v>
      </c>
      <c r="B14" s="85">
        <f t="shared" si="5"/>
        <v>15</v>
      </c>
      <c r="C14" s="110">
        <f t="shared" si="0"/>
        <v>0</v>
      </c>
      <c r="D14" s="148">
        <f t="shared" si="6"/>
        <v>80.476791943096401</v>
      </c>
      <c r="E14" s="149">
        <f t="shared" si="7"/>
        <v>3.4641263198260299</v>
      </c>
      <c r="F14" s="85">
        <f t="shared" si="1"/>
        <v>80.551314158194444</v>
      </c>
      <c r="G14" s="85">
        <f t="shared" si="2"/>
        <v>1.0068914269774305</v>
      </c>
      <c r="H14" s="110">
        <f t="shared" si="3"/>
        <v>0.99907484792921331</v>
      </c>
      <c r="I14" s="150" t="str">
        <f t="shared" si="8"/>
        <v>80,4767919430964+3,46412631982603i</v>
      </c>
      <c r="J14" s="137" t="str">
        <f t="shared" si="4"/>
        <v>80,4891384615946+3,31786852581683i</v>
      </c>
      <c r="K14" s="147" t="str">
        <f t="shared" si="9"/>
        <v>0,155+1,3i</v>
      </c>
      <c r="L14" s="128"/>
      <c r="M14" s="128"/>
      <c r="N14" s="128"/>
      <c r="O14" s="128"/>
      <c r="P14" s="128"/>
      <c r="Q14" s="128"/>
      <c r="R14" s="128"/>
      <c r="S14" s="128"/>
      <c r="T14" s="128"/>
      <c r="U14" s="128"/>
    </row>
    <row r="15" spans="1:21" x14ac:dyDescent="0.2">
      <c r="A15" s="145">
        <v>4</v>
      </c>
      <c r="B15" s="85">
        <f t="shared" si="5"/>
        <v>20</v>
      </c>
      <c r="C15" s="110">
        <f t="shared" si="0"/>
        <v>0</v>
      </c>
      <c r="D15" s="148">
        <f t="shared" si="6"/>
        <v>80.644138461594594</v>
      </c>
      <c r="E15" s="149">
        <f t="shared" si="7"/>
        <v>4.6178685258168297</v>
      </c>
      <c r="F15" s="85">
        <f t="shared" si="1"/>
        <v>80.776245133916504</v>
      </c>
      <c r="G15" s="85">
        <f t="shared" si="2"/>
        <v>1.0097030641739564</v>
      </c>
      <c r="H15" s="110">
        <f t="shared" si="3"/>
        <v>0.9983645356118882</v>
      </c>
      <c r="I15" s="150" t="str">
        <f t="shared" si="8"/>
        <v>80,6441384615946+4,61786852581683i</v>
      </c>
      <c r="J15" s="137" t="str">
        <f t="shared" si="4"/>
        <v>80,6607198130871+4,47120012721004i</v>
      </c>
      <c r="K15" s="147" t="str">
        <f t="shared" si="9"/>
        <v>0,155+1,3i</v>
      </c>
      <c r="L15" s="128"/>
      <c r="M15" s="128"/>
      <c r="N15" s="128"/>
      <c r="O15" s="128"/>
      <c r="P15" s="128"/>
      <c r="Q15" s="128"/>
      <c r="R15" s="128"/>
      <c r="S15" s="128"/>
      <c r="T15" s="128"/>
      <c r="U15" s="128"/>
    </row>
    <row r="16" spans="1:21" x14ac:dyDescent="0.2">
      <c r="A16" s="145">
        <v>5</v>
      </c>
      <c r="B16" s="85">
        <f t="shared" si="5"/>
        <v>25</v>
      </c>
      <c r="C16" s="110">
        <f t="shared" si="0"/>
        <v>0</v>
      </c>
      <c r="D16" s="148">
        <f t="shared" si="6"/>
        <v>80.8157198130871</v>
      </c>
      <c r="E16" s="149">
        <f t="shared" si="7"/>
        <v>5.7712001272100402</v>
      </c>
      <c r="F16" s="85">
        <f t="shared" si="1"/>
        <v>81.021523805811682</v>
      </c>
      <c r="G16" s="85">
        <f t="shared" si="2"/>
        <v>1.0127690475726461</v>
      </c>
      <c r="H16" s="110">
        <f t="shared" si="3"/>
        <v>0.99745988494097149</v>
      </c>
      <c r="I16" s="150" t="str">
        <f t="shared" si="8"/>
        <v>80,8157198130871+5,77120012721004i</v>
      </c>
      <c r="J16" s="137" t="str">
        <f t="shared" si="4"/>
        <v>80,8365533561373+5,62416440597236i</v>
      </c>
      <c r="K16" s="147" t="str">
        <f t="shared" si="9"/>
        <v>0,155+1,3i</v>
      </c>
    </row>
    <row r="17" spans="1:11" x14ac:dyDescent="0.2">
      <c r="A17" s="145">
        <v>6</v>
      </c>
      <c r="B17" s="85">
        <f t="shared" si="5"/>
        <v>30</v>
      </c>
      <c r="C17" s="110">
        <f t="shared" si="0"/>
        <v>0</v>
      </c>
      <c r="D17" s="148">
        <f t="shared" si="6"/>
        <v>80.991553356137302</v>
      </c>
      <c r="E17" s="149">
        <f t="shared" si="7"/>
        <v>6.9241644059723599</v>
      </c>
      <c r="F17" s="85">
        <f t="shared" si="1"/>
        <v>81.286996301751543</v>
      </c>
      <c r="G17" s="85">
        <f t="shared" si="2"/>
        <v>1.0160874537718942</v>
      </c>
      <c r="H17" s="110">
        <f t="shared" si="3"/>
        <v>0.99636543409086598</v>
      </c>
      <c r="I17" s="150" t="str">
        <f t="shared" si="8"/>
        <v>80,9915533561373+6,92416440597236i</v>
      </c>
      <c r="J17" s="137" t="str">
        <f t="shared" si="4"/>
        <v>81,0166572679759+6,77680443142839i</v>
      </c>
      <c r="K17" s="147" t="str">
        <f t="shared" si="9"/>
        <v>0,155+1,3i</v>
      </c>
    </row>
    <row r="18" spans="1:11" x14ac:dyDescent="0.2">
      <c r="A18" s="145">
        <v>7</v>
      </c>
      <c r="B18" s="85">
        <f t="shared" si="5"/>
        <v>35</v>
      </c>
      <c r="C18" s="110">
        <f t="shared" si="0"/>
        <v>0</v>
      </c>
      <c r="D18" s="148">
        <f t="shared" si="6"/>
        <v>81.171657267975903</v>
      </c>
      <c r="E18" s="149">
        <f t="shared" si="7"/>
        <v>8.0768044314283909</v>
      </c>
      <c r="F18" s="85">
        <f t="shared" si="1"/>
        <v>81.572499737676836</v>
      </c>
      <c r="G18" s="85">
        <f t="shared" si="2"/>
        <v>1.0196562467209604</v>
      </c>
      <c r="H18" s="110">
        <f t="shared" si="3"/>
        <v>0.99508605876992895</v>
      </c>
      <c r="I18" s="150" t="str">
        <f t="shared" si="8"/>
        <v>81,1716572679759+8,07680443142839i</v>
      </c>
      <c r="J18" s="137" t="str">
        <f t="shared" si="4"/>
        <v>81,2010505487027+7,92916306316441i</v>
      </c>
      <c r="K18" s="147" t="str">
        <f t="shared" si="9"/>
        <v>0,155+1,3i</v>
      </c>
    </row>
    <row r="19" spans="1:11" x14ac:dyDescent="0.2">
      <c r="A19" s="145">
        <v>8</v>
      </c>
      <c r="B19" s="85">
        <f t="shared" si="5"/>
        <v>40</v>
      </c>
      <c r="C19" s="110">
        <f t="shared" si="0"/>
        <v>0</v>
      </c>
      <c r="D19" s="148">
        <f t="shared" si="6"/>
        <v>81.356050548702697</v>
      </c>
      <c r="E19" s="149">
        <f t="shared" si="7"/>
        <v>9.2291630631644104</v>
      </c>
      <c r="F19" s="85">
        <f t="shared" si="1"/>
        <v>81.877862769673868</v>
      </c>
      <c r="G19" s="85">
        <f t="shared" si="2"/>
        <v>1.0234732846209234</v>
      </c>
      <c r="H19" s="110">
        <f t="shared" si="3"/>
        <v>0.9936269437999492</v>
      </c>
      <c r="I19" s="150" t="str">
        <f t="shared" si="8"/>
        <v>81,3560505487027+9,22916306316441i</v>
      </c>
      <c r="J19" s="137" t="str">
        <f t="shared" si="4"/>
        <v>81,389753025788+9,08128295378695i</v>
      </c>
      <c r="K19" s="147" t="str">
        <f t="shared" si="9"/>
        <v>0,155+1,3i</v>
      </c>
    </row>
    <row r="20" spans="1:11" x14ac:dyDescent="0.2">
      <c r="A20" s="145">
        <v>9</v>
      </c>
      <c r="B20" s="85">
        <f t="shared" si="5"/>
        <v>45</v>
      </c>
      <c r="C20" s="110">
        <f t="shared" si="0"/>
        <v>0</v>
      </c>
      <c r="D20" s="148">
        <f t="shared" si="6"/>
        <v>81.544753025787998</v>
      </c>
      <c r="E20" s="149">
        <f t="shared" si="7"/>
        <v>10.381282953787</v>
      </c>
      <c r="F20" s="85">
        <f t="shared" si="1"/>
        <v>82.202906163975427</v>
      </c>
      <c r="G20" s="85">
        <f t="shared" si="2"/>
        <v>1.0275363270496929</v>
      </c>
      <c r="H20" s="110">
        <f t="shared" si="3"/>
        <v>0.99199355389121435</v>
      </c>
      <c r="I20" s="150" t="str">
        <f t="shared" si="8"/>
        <v>81,544753025788+10,381282953787i</v>
      </c>
      <c r="J20" s="137" t="str">
        <f t="shared" si="4"/>
        <v>81,5827853588715+10,233206551534i</v>
      </c>
      <c r="K20" s="147" t="str">
        <f t="shared" si="9"/>
        <v>0,155+1,3i</v>
      </c>
    </row>
    <row r="21" spans="1:11" x14ac:dyDescent="0.2">
      <c r="A21" s="145">
        <v>10</v>
      </c>
      <c r="B21" s="85">
        <f t="shared" si="5"/>
        <v>50</v>
      </c>
      <c r="C21" s="110">
        <f t="shared" si="0"/>
        <v>0</v>
      </c>
      <c r="D21" s="148">
        <f t="shared" si="6"/>
        <v>81.737785358871506</v>
      </c>
      <c r="E21" s="149">
        <f t="shared" si="7"/>
        <v>11.533206551534001</v>
      </c>
      <c r="F21" s="85">
        <f t="shared" si="1"/>
        <v>82.547443380963031</v>
      </c>
      <c r="G21" s="85">
        <f t="shared" si="2"/>
        <v>1.0318430422620379</v>
      </c>
      <c r="H21" s="110">
        <f t="shared" si="3"/>
        <v>0.9901916038955334</v>
      </c>
      <c r="I21" s="150" t="str">
        <f t="shared" si="8"/>
        <v>81,7377853588715+11,533206551534i</v>
      </c>
      <c r="J21" s="137" t="str">
        <f t="shared" si="4"/>
        <v>81,7801690448622+11,3849761027363i</v>
      </c>
      <c r="K21" s="147" t="str">
        <f t="shared" si="9"/>
        <v>0,155+1,3i</v>
      </c>
    </row>
    <row r="22" spans="1:11" x14ac:dyDescent="0.2">
      <c r="A22" s="145">
        <v>11</v>
      </c>
      <c r="B22" s="85">
        <f t="shared" si="5"/>
        <v>55</v>
      </c>
      <c r="C22" s="110">
        <f t="shared" si="0"/>
        <v>0</v>
      </c>
      <c r="D22" s="148">
        <f t="shared" si="6"/>
        <v>81.935169044862207</v>
      </c>
      <c r="E22" s="149">
        <f t="shared" si="7"/>
        <v>12.6849761027363</v>
      </c>
      <c r="F22" s="85">
        <f t="shared" si="1"/>
        <v>82.911281169314577</v>
      </c>
      <c r="G22" s="85">
        <f t="shared" si="2"/>
        <v>1.0363910146164321</v>
      </c>
      <c r="H22" s="110">
        <f t="shared" si="3"/>
        <v>0.98822702881096447</v>
      </c>
      <c r="I22" s="150" t="str">
        <f t="shared" si="8"/>
        <v>81,9351690448622+12,6849761027363i</v>
      </c>
      <c r="J22" s="137" t="str">
        <f t="shared" si="4"/>
        <v>81,9819264233405+12,5366336541271i</v>
      </c>
      <c r="K22" s="147" t="str">
        <f t="shared" si="9"/>
        <v>0,155+1,3i</v>
      </c>
    </row>
    <row r="23" spans="1:11" x14ac:dyDescent="0.2">
      <c r="A23" s="145">
        <v>12</v>
      </c>
      <c r="B23" s="85">
        <f t="shared" si="5"/>
        <v>60</v>
      </c>
      <c r="C23" s="110">
        <f t="shared" si="0"/>
        <v>0</v>
      </c>
      <c r="D23" s="148">
        <f t="shared" si="6"/>
        <v>82.136926423340498</v>
      </c>
      <c r="E23" s="149">
        <f t="shared" si="7"/>
        <v>13.8366336541271</v>
      </c>
      <c r="F23" s="85">
        <f t="shared" si="1"/>
        <v>83.294220166538409</v>
      </c>
      <c r="G23" s="85">
        <f t="shared" si="2"/>
        <v>1.04117775208173</v>
      </c>
      <c r="H23" s="110">
        <f t="shared" si="3"/>
        <v>0.98610595379986732</v>
      </c>
      <c r="I23" s="150" t="str">
        <f t="shared" si="8"/>
        <v>82,1369264233405+13,8366336541271i</v>
      </c>
      <c r="J23" s="137" t="str">
        <f t="shared" si="4"/>
        <v>82,1880806822626+13,6882210549966i</v>
      </c>
      <c r="K23" s="147" t="str">
        <f t="shared" si="9"/>
        <v>0,155+1,3i</v>
      </c>
    </row>
    <row r="24" spans="1:11" x14ac:dyDescent="0.2">
      <c r="A24" s="145">
        <v>13</v>
      </c>
      <c r="B24" s="85">
        <f t="shared" si="5"/>
        <v>65</v>
      </c>
      <c r="C24" s="110">
        <f t="shared" si="0"/>
        <v>0</v>
      </c>
      <c r="D24" s="148">
        <f t="shared" si="6"/>
        <v>82.343080682262595</v>
      </c>
      <c r="E24" s="149">
        <f t="shared" si="7"/>
        <v>14.9882210549966</v>
      </c>
      <c r="F24" s="85">
        <f t="shared" si="1"/>
        <v>83.696055502269942</v>
      </c>
      <c r="G24" s="85">
        <f t="shared" si="2"/>
        <v>1.0462006937783743</v>
      </c>
      <c r="H24" s="110">
        <f t="shared" si="3"/>
        <v>0.98383466446670653</v>
      </c>
      <c r="I24" s="150" t="str">
        <f t="shared" si="8"/>
        <v>82,3430806822626+14,9882210549966i</v>
      </c>
      <c r="J24" s="137" t="str">
        <f t="shared" si="4"/>
        <v>82,39865586397+14,8397799591892i</v>
      </c>
      <c r="K24" s="147" t="str">
        <f t="shared" si="9"/>
        <v>0,155+1,3i</v>
      </c>
    </row>
    <row r="25" spans="1:11" x14ac:dyDescent="0.2">
      <c r="A25" s="145">
        <v>14</v>
      </c>
      <c r="B25" s="85">
        <f t="shared" si="5"/>
        <v>70</v>
      </c>
      <c r="C25" s="110">
        <f t="shared" si="0"/>
        <v>0</v>
      </c>
      <c r="D25" s="148">
        <f t="shared" si="6"/>
        <v>82.553655863969993</v>
      </c>
      <c r="E25" s="149">
        <f t="shared" si="7"/>
        <v>16.139779959189202</v>
      </c>
      <c r="F25" s="85">
        <f t="shared" si="1"/>
        <v>84.116577400877603</v>
      </c>
      <c r="G25" s="85">
        <f t="shared" si="2"/>
        <v>1.05145721751097</v>
      </c>
      <c r="H25" s="110">
        <f t="shared" si="3"/>
        <v>0.98141957762428755</v>
      </c>
      <c r="I25" s="150" t="str">
        <f t="shared" si="8"/>
        <v>82,55365586397+16,1397799591892i</v>
      </c>
      <c r="J25" s="137" t="str">
        <f t="shared" si="4"/>
        <v>82,6136768715057+15,9913518269402i</v>
      </c>
      <c r="K25" s="147" t="str">
        <f t="shared" si="9"/>
        <v>0,155+1,3i</v>
      </c>
    </row>
    <row r="26" spans="1:11" x14ac:dyDescent="0.2">
      <c r="A26" s="145">
        <v>15</v>
      </c>
      <c r="B26" s="85">
        <f t="shared" si="5"/>
        <v>75</v>
      </c>
      <c r="C26" s="110">
        <f t="shared" si="0"/>
        <v>0</v>
      </c>
      <c r="D26" s="148">
        <f t="shared" si="6"/>
        <v>82.768676871505704</v>
      </c>
      <c r="E26" s="149">
        <f t="shared" si="7"/>
        <v>17.2913518269402</v>
      </c>
      <c r="F26" s="85">
        <f t="shared" si="1"/>
        <v>84.555571780118385</v>
      </c>
      <c r="G26" s="85">
        <f t="shared" si="2"/>
        <v>1.0569446472514799</v>
      </c>
      <c r="H26" s="110">
        <f t="shared" si="3"/>
        <v>0.9788672127573167</v>
      </c>
      <c r="I26" s="150" t="str">
        <f t="shared" si="8"/>
        <v>82,7686768715057+17,2913518269402i</v>
      </c>
      <c r="J26" s="137" t="str">
        <f t="shared" si="4"/>
        <v>82,833169475239+17,1429779265492i</v>
      </c>
      <c r="K26" s="147" t="str">
        <f t="shared" si="9"/>
        <v>0,155+1,3i</v>
      </c>
    </row>
    <row r="27" spans="1:11" x14ac:dyDescent="0.2">
      <c r="A27" s="145">
        <v>16</v>
      </c>
      <c r="B27" s="85">
        <f t="shared" si="5"/>
        <v>80</v>
      </c>
      <c r="C27" s="110">
        <f t="shared" si="0"/>
        <v>0</v>
      </c>
      <c r="D27" s="148">
        <f t="shared" si="6"/>
        <v>82.988169475239005</v>
      </c>
      <c r="E27" s="149">
        <f t="shared" si="7"/>
        <v>18.442977926549201</v>
      </c>
      <c r="F27" s="85">
        <f t="shared" si="1"/>
        <v>85.012820842800949</v>
      </c>
      <c r="G27" s="85">
        <f t="shared" si="2"/>
        <v>1.0626602605350119</v>
      </c>
      <c r="H27" s="110">
        <f t="shared" si="3"/>
        <v>0.97618416437085676</v>
      </c>
      <c r="I27" s="150" t="str">
        <f t="shared" si="8"/>
        <v>82,988169475239+18,4429779265492i</v>
      </c>
      <c r="J27" s="137" t="str">
        <f t="shared" si="4"/>
        <v>83,0571603198018+18,2946993358868i</v>
      </c>
      <c r="K27" s="147" t="str">
        <f t="shared" si="9"/>
        <v>0,155+1,3i</v>
      </c>
    </row>
    <row r="28" spans="1:11" x14ac:dyDescent="0.2">
      <c r="A28" s="145">
        <v>17</v>
      </c>
      <c r="B28" s="85">
        <f t="shared" si="5"/>
        <v>85</v>
      </c>
      <c r="C28" s="110">
        <f t="shared" si="0"/>
        <v>0</v>
      </c>
      <c r="D28" s="148">
        <f t="shared" si="6"/>
        <v>83.212160319801797</v>
      </c>
      <c r="E28" s="149">
        <f t="shared" si="7"/>
        <v>19.594699335886801</v>
      </c>
      <c r="F28" s="85">
        <f t="shared" si="1"/>
        <v>85.488103658650658</v>
      </c>
      <c r="G28" s="85">
        <f t="shared" si="2"/>
        <v>1.0686012957331332</v>
      </c>
      <c r="H28" s="110">
        <f t="shared" si="3"/>
        <v>0.97337707538891527</v>
      </c>
      <c r="I28" s="150" t="str">
        <f t="shared" si="8"/>
        <v>83,2121603198018+19,5946993358868i</v>
      </c>
      <c r="J28" s="137" t="str">
        <f t="shared" si="4"/>
        <v>83,2856769313363+19,4465569437313i</v>
      </c>
      <c r="K28" s="147" t="str">
        <f t="shared" si="9"/>
        <v>0,155+1,3i</v>
      </c>
    </row>
    <row r="29" spans="1:11" x14ac:dyDescent="0.2">
      <c r="A29" s="145">
        <v>18</v>
      </c>
      <c r="B29" s="85">
        <f t="shared" si="5"/>
        <v>90</v>
      </c>
      <c r="C29" s="110">
        <f t="shared" si="0"/>
        <v>0</v>
      </c>
      <c r="D29" s="148">
        <f t="shared" si="6"/>
        <v>83.440676931336299</v>
      </c>
      <c r="E29" s="149">
        <f t="shared" si="7"/>
        <v>20.746556943731299</v>
      </c>
      <c r="F29" s="85">
        <f t="shared" si="1"/>
        <v>85.981196733815722</v>
      </c>
      <c r="G29" s="85">
        <f t="shared" si="2"/>
        <v>1.0747649591726964</v>
      </c>
      <c r="H29" s="110">
        <f t="shared" si="3"/>
        <v>0.97045261174551367</v>
      </c>
      <c r="I29" s="150" t="str">
        <f t="shared" si="8"/>
        <v>83,4406769313363+20,7465569437313i</v>
      </c>
      <c r="J29" s="137" t="str">
        <f t="shared" si="4"/>
        <v>83,5187477250594+20,5985914509316i</v>
      </c>
      <c r="K29" s="147" t="str">
        <f t="shared" si="9"/>
        <v>0,155+1,3i</v>
      </c>
    </row>
    <row r="30" spans="1:11" x14ac:dyDescent="0.2">
      <c r="A30" s="145">
        <v>19</v>
      </c>
      <c r="B30" s="85">
        <f t="shared" si="5"/>
        <v>95</v>
      </c>
      <c r="C30" s="110">
        <f t="shared" si="0"/>
        <v>0</v>
      </c>
      <c r="D30" s="148">
        <f t="shared" si="6"/>
        <v>83.6737477250594</v>
      </c>
      <c r="E30" s="149">
        <f t="shared" si="7"/>
        <v>21.898591450931601</v>
      </c>
      <c r="F30" s="85">
        <f t="shared" si="1"/>
        <v>86.491874565716856</v>
      </c>
      <c r="G30" s="85">
        <f t="shared" si="2"/>
        <v>1.0811484320714606</v>
      </c>
      <c r="H30" s="110">
        <f t="shared" si="3"/>
        <v>0.96741743828761362</v>
      </c>
      <c r="I30" s="150" t="str">
        <f t="shared" si="8"/>
        <v>83,6737477250594+21,8985914509316i</v>
      </c>
      <c r="J30" s="137" t="str">
        <f t="shared" si="4"/>
        <v>83,7564020131447+21,7508433713928i</v>
      </c>
      <c r="K30" s="147" t="str">
        <f t="shared" si="9"/>
        <v>0,155+1,3i</v>
      </c>
    </row>
    <row r="31" spans="1:11" x14ac:dyDescent="0.2">
      <c r="A31" s="145">
        <v>20</v>
      </c>
      <c r="B31" s="85">
        <f t="shared" si="5"/>
        <v>100</v>
      </c>
      <c r="C31" s="110">
        <f t="shared" si="0"/>
        <v>0</v>
      </c>
      <c r="D31" s="148">
        <f t="shared" si="6"/>
        <v>83.911402013144695</v>
      </c>
      <c r="E31" s="149">
        <f t="shared" si="7"/>
        <v>23.050843371392801</v>
      </c>
      <c r="F31" s="85">
        <f t="shared" si="1"/>
        <v>87.01991018119972</v>
      </c>
      <c r="G31" s="85">
        <f t="shared" si="2"/>
        <v>1.0877488772649966</v>
      </c>
      <c r="H31" s="110">
        <f t="shared" si="3"/>
        <v>0.96427819608659393</v>
      </c>
      <c r="I31" s="150" t="str">
        <f t="shared" si="8"/>
        <v>83,9114020131447+23,0508433713928i</v>
      </c>
      <c r="J31" s="137" t="str">
        <f t="shared" si="4"/>
        <v>83,998670012925+22,9033530328807i</v>
      </c>
      <c r="K31" s="147" t="str">
        <f t="shared" si="9"/>
        <v>0,155+1,3i</v>
      </c>
    </row>
    <row r="32" spans="1:11" x14ac:dyDescent="0.2">
      <c r="A32" s="145">
        <v>21</v>
      </c>
      <c r="B32" s="85">
        <f t="shared" si="5"/>
        <v>105</v>
      </c>
      <c r="C32" s="110">
        <f t="shared" si="0"/>
        <v>0</v>
      </c>
      <c r="D32" s="148">
        <f t="shared" si="6"/>
        <v>84.153670012925005</v>
      </c>
      <c r="E32" s="149">
        <f t="shared" si="7"/>
        <v>24.203353032880699</v>
      </c>
      <c r="F32" s="85">
        <f t="shared" si="1"/>
        <v>87.565075656214262</v>
      </c>
      <c r="G32" s="85">
        <f t="shared" si="2"/>
        <v>1.0945634457026783</v>
      </c>
      <c r="H32" s="110">
        <f t="shared" si="3"/>
        <v>0.96104148123296729</v>
      </c>
      <c r="I32" s="150" t="str">
        <f t="shared" si="8"/>
        <v>84,153670012925+24,2033530328807i</v>
      </c>
      <c r="J32" s="137" t="str">
        <f t="shared" si="4"/>
        <v>84,2455828554183+24,0561605776406i</v>
      </c>
      <c r="K32" s="147" t="str">
        <f t="shared" si="9"/>
        <v>0,155+1,3i</v>
      </c>
    </row>
    <row r="33" spans="1:11" x14ac:dyDescent="0.2">
      <c r="A33" s="145">
        <v>22</v>
      </c>
      <c r="B33" s="85">
        <f t="shared" si="5"/>
        <v>110</v>
      </c>
      <c r="C33" s="110">
        <f t="shared" si="0"/>
        <v>0</v>
      </c>
      <c r="D33" s="148">
        <f t="shared" si="6"/>
        <v>84.400582855418307</v>
      </c>
      <c r="E33" s="149">
        <f t="shared" si="7"/>
        <v>25.356160577640601</v>
      </c>
      <c r="F33" s="85">
        <f t="shared" si="1"/>
        <v>88.127142615504255</v>
      </c>
      <c r="G33" s="85">
        <f t="shared" si="2"/>
        <v>1.1015892826938032</v>
      </c>
      <c r="H33" s="110">
        <f t="shared" si="3"/>
        <v>0.95771382516797576</v>
      </c>
      <c r="I33" s="150" t="str">
        <f t="shared" si="8"/>
        <v>84,4005828554183+25,3561605776406i</v>
      </c>
      <c r="J33" s="137" t="str">
        <f t="shared" si="4"/>
        <v>84,49717259418+25,2093059628262i</v>
      </c>
      <c r="K33" s="147" t="str">
        <f t="shared" si="9"/>
        <v>0,155+1,3i</v>
      </c>
    </row>
    <row r="34" spans="1:11" x14ac:dyDescent="0.2">
      <c r="A34" s="145">
        <v>23</v>
      </c>
      <c r="B34" s="85">
        <f t="shared" si="5"/>
        <v>115</v>
      </c>
      <c r="C34" s="110">
        <f t="shared" si="0"/>
        <v>0</v>
      </c>
      <c r="D34" s="148">
        <f t="shared" si="6"/>
        <v>84.652172594180001</v>
      </c>
      <c r="E34" s="149">
        <f t="shared" si="7"/>
        <v>26.5093059628262</v>
      </c>
      <c r="F34" s="85">
        <f t="shared" si="1"/>
        <v>88.705882711044438</v>
      </c>
      <c r="G34" s="85">
        <f t="shared" si="2"/>
        <v>1.1088235338880554</v>
      </c>
      <c r="H34" s="110">
        <f t="shared" si="3"/>
        <v>0.9543016765858785</v>
      </c>
      <c r="I34" s="150" t="str">
        <f t="shared" si="8"/>
        <v>84,65217259418+26,5093059628262i</v>
      </c>
      <c r="J34" s="137" t="str">
        <f t="shared" si="4"/>
        <v>84,7534722144855+26,3628289607356i</v>
      </c>
      <c r="K34" s="147" t="str">
        <f t="shared" si="9"/>
        <v>0,155+1,3i</v>
      </c>
    </row>
    <row r="35" spans="1:11" x14ac:dyDescent="0.2">
      <c r="A35" s="145">
        <v>24</v>
      </c>
      <c r="B35" s="85">
        <f t="shared" si="5"/>
        <v>120</v>
      </c>
      <c r="C35" s="110">
        <f t="shared" si="0"/>
        <v>0</v>
      </c>
      <c r="D35" s="148">
        <f t="shared" si="6"/>
        <v>84.908472214485499</v>
      </c>
      <c r="E35" s="149">
        <f t="shared" si="7"/>
        <v>27.662828960735599</v>
      </c>
      <c r="F35" s="85">
        <f t="shared" si="1"/>
        <v>89.301068078209283</v>
      </c>
      <c r="G35" s="85">
        <f t="shared" si="2"/>
        <v>1.1162633509776161</v>
      </c>
      <c r="H35" s="110">
        <f t="shared" si="3"/>
        <v>0.95081138492233064</v>
      </c>
      <c r="I35" s="150" t="str">
        <f t="shared" si="8"/>
        <v>84,9084722144855+27,6628289607356i</v>
      </c>
      <c r="J35" s="137" t="str">
        <f t="shared" si="4"/>
        <v>85,0145156428452+27,5167691588458i</v>
      </c>
      <c r="K35" s="147" t="str">
        <f t="shared" si="9"/>
        <v>0,155+1,3i</v>
      </c>
    </row>
    <row r="36" spans="1:11" x14ac:dyDescent="0.2">
      <c r="A36" s="145">
        <v>25</v>
      </c>
      <c r="B36" s="85">
        <f t="shared" si="5"/>
        <v>125</v>
      </c>
      <c r="C36" s="110">
        <f t="shared" si="0"/>
        <v>0</v>
      </c>
      <c r="D36" s="148">
        <f t="shared" si="6"/>
        <v>85.169515642845198</v>
      </c>
      <c r="E36" s="149">
        <f t="shared" si="7"/>
        <v>28.816769158845801</v>
      </c>
      <c r="F36" s="85">
        <f t="shared" si="1"/>
        <v>89.912471768887869</v>
      </c>
      <c r="G36" s="85">
        <f t="shared" si="2"/>
        <v>1.1239058971110985</v>
      </c>
      <c r="H36" s="110">
        <f t="shared" si="3"/>
        <v>0.94724918542742287</v>
      </c>
      <c r="I36" s="150" t="str">
        <f t="shared" si="8"/>
        <v>85,1695156428452+28,8167691588458i</v>
      </c>
      <c r="J36" s="137" t="str">
        <f t="shared" si="4"/>
        <v>85,2803377568556+28,6711659596456i</v>
      </c>
      <c r="K36" s="147" t="str">
        <f t="shared" si="9"/>
        <v>0,155+1,3i</v>
      </c>
    </row>
    <row r="37" spans="1:11" x14ac:dyDescent="0.2">
      <c r="A37" s="145">
        <v>26</v>
      </c>
      <c r="B37" s="85">
        <f t="shared" si="5"/>
        <v>130</v>
      </c>
      <c r="C37" s="110">
        <f t="shared" si="0"/>
        <v>0</v>
      </c>
      <c r="D37" s="148">
        <f t="shared" si="6"/>
        <v>85.435337756855603</v>
      </c>
      <c r="E37" s="149">
        <f t="shared" si="7"/>
        <v>29.971165959645599</v>
      </c>
      <c r="F37" s="85">
        <f t="shared" si="1"/>
        <v>90.539868160985392</v>
      </c>
      <c r="G37" s="85">
        <f t="shared" si="2"/>
        <v>1.1317483520123175</v>
      </c>
      <c r="H37" s="110">
        <f t="shared" si="3"/>
        <v>0.94362118580674736</v>
      </c>
      <c r="I37" s="150" t="str">
        <f t="shared" si="8"/>
        <v>85,4353377568556+29,9711659596456i</v>
      </c>
      <c r="J37" s="137" t="str">
        <f t="shared" si="4"/>
        <v>85,5509743953904+29,8260585802584i</v>
      </c>
      <c r="K37" s="147" t="str">
        <f t="shared" si="9"/>
        <v>0,155+1,3i</v>
      </c>
    </row>
    <row r="38" spans="1:11" x14ac:dyDescent="0.2">
      <c r="A38" s="145">
        <v>27</v>
      </c>
      <c r="B38" s="85">
        <f t="shared" si="5"/>
        <v>135</v>
      </c>
      <c r="C38" s="110">
        <f t="shared" si="0"/>
        <v>0</v>
      </c>
      <c r="D38" s="148">
        <f t="shared" si="6"/>
        <v>85.705974395390399</v>
      </c>
      <c r="E38" s="149">
        <f t="shared" si="7"/>
        <v>31.126058580258402</v>
      </c>
      <c r="F38" s="85">
        <f t="shared" si="1"/>
        <v>91.183033343956012</v>
      </c>
      <c r="G38" s="85">
        <f t="shared" si="2"/>
        <v>1.1397879167994502</v>
      </c>
      <c r="H38" s="110">
        <f t="shared" si="3"/>
        <v>0.93993335440042536</v>
      </c>
      <c r="I38" s="150" t="str">
        <f t="shared" si="8"/>
        <v>85,7059743953904+31,1260585802584i</v>
      </c>
      <c r="J38" s="137" t="str">
        <f t="shared" si="4"/>
        <v>85,8264623691353+30,9814860518505i</v>
      </c>
      <c r="K38" s="147" t="str">
        <f t="shared" si="9"/>
        <v>0,155+1,3i</v>
      </c>
    </row>
    <row r="39" spans="1:11" x14ac:dyDescent="0.2">
      <c r="A39" s="145">
        <v>28</v>
      </c>
      <c r="B39" s="85">
        <f t="shared" si="5"/>
        <v>140</v>
      </c>
      <c r="C39" s="110">
        <f t="shared" si="0"/>
        <v>0</v>
      </c>
      <c r="D39" s="148">
        <f t="shared" si="6"/>
        <v>85.981462369135301</v>
      </c>
      <c r="E39" s="149">
        <f t="shared" si="7"/>
        <v>32.2814860518505</v>
      </c>
      <c r="F39" s="85">
        <f t="shared" si="1"/>
        <v>91.841745480205503</v>
      </c>
      <c r="G39" s="85">
        <f t="shared" si="2"/>
        <v>1.1480218185025688</v>
      </c>
      <c r="H39" s="110">
        <f t="shared" si="3"/>
        <v>0.93619150985830013</v>
      </c>
      <c r="I39" s="150" t="str">
        <f t="shared" si="8"/>
        <v>85,9814623691353+32,2814860518505i</v>
      </c>
      <c r="J39" s="137" t="str">
        <f t="shared" si="4"/>
        <v>86,10683947147+32,1374872188189i</v>
      </c>
      <c r="K39" s="147" t="str">
        <f t="shared" si="9"/>
        <v>0,155+1,3i</v>
      </c>
    </row>
    <row r="40" spans="1:11" x14ac:dyDescent="0.2">
      <c r="A40" s="145">
        <v>29</v>
      </c>
      <c r="B40" s="85">
        <f t="shared" si="5"/>
        <v>145</v>
      </c>
      <c r="C40" s="110">
        <f t="shared" si="0"/>
        <v>0</v>
      </c>
      <c r="D40" s="148">
        <f t="shared" si="6"/>
        <v>86.261839471469997</v>
      </c>
      <c r="E40" s="149">
        <f t="shared" si="7"/>
        <v>33.437487218818902</v>
      </c>
      <c r="F40" s="85">
        <f t="shared" si="1"/>
        <v>92.515785142376302</v>
      </c>
      <c r="G40" s="85">
        <f t="shared" si="2"/>
        <v>1.1564473142797038</v>
      </c>
      <c r="H40" s="110">
        <f t="shared" si="3"/>
        <v>0.93240131225950407</v>
      </c>
      <c r="I40" s="150" t="str">
        <f t="shared" si="8"/>
        <v>86,26183947147+33,4374872188189i</v>
      </c>
      <c r="J40" s="137" t="str">
        <f t="shared" si="4"/>
        <v>86,3921444897021+33,2941007377537i</v>
      </c>
      <c r="K40" s="147" t="str">
        <f t="shared" si="9"/>
        <v>0,155+1,3i</v>
      </c>
    </row>
    <row r="41" spans="1:11" x14ac:dyDescent="0.2">
      <c r="A41" s="145">
        <v>30</v>
      </c>
      <c r="B41" s="85">
        <f t="shared" si="5"/>
        <v>150</v>
      </c>
      <c r="C41" s="110">
        <f t="shared" si="0"/>
        <v>0</v>
      </c>
      <c r="D41" s="148">
        <f t="shared" si="6"/>
        <v>86.547144489702106</v>
      </c>
      <c r="E41" s="149">
        <f t="shared" si="7"/>
        <v>34.594100737753699</v>
      </c>
      <c r="F41" s="85">
        <f t="shared" si="1"/>
        <v>93.204935626688908</v>
      </c>
      <c r="G41" s="85">
        <f t="shared" si="2"/>
        <v>1.1650616953336113</v>
      </c>
      <c r="H41" s="110">
        <f t="shared" si="3"/>
        <v>0.92856825561627909</v>
      </c>
      <c r="I41" s="150" t="str">
        <f t="shared" si="8"/>
        <v>86,5471444897021+34,5941007377537i</v>
      </c>
      <c r="J41" s="137" t="str">
        <f t="shared" si="4"/>
        <v>86,6824172166559+34,4513650761681i</v>
      </c>
      <c r="K41" s="147" t="str">
        <f t="shared" si="9"/>
        <v>0,155+1,3i</v>
      </c>
    </row>
    <row r="42" spans="1:11" x14ac:dyDescent="0.2">
      <c r="A42" s="145">
        <v>31</v>
      </c>
      <c r="B42" s="85">
        <f t="shared" si="5"/>
        <v>155</v>
      </c>
      <c r="C42" s="110">
        <f t="shared" si="0"/>
        <v>0</v>
      </c>
      <c r="D42" s="148">
        <f t="shared" si="6"/>
        <v>86.837417216655894</v>
      </c>
      <c r="E42" s="149">
        <f t="shared" si="7"/>
        <v>35.751365076168099</v>
      </c>
      <c r="F42" s="85">
        <f t="shared" si="1"/>
        <v>93.908983242653719</v>
      </c>
      <c r="G42" s="85">
        <f t="shared" si="2"/>
        <v>1.1738622905331715</v>
      </c>
      <c r="H42" s="110">
        <f t="shared" si="3"/>
        <v>0.92469766169520295</v>
      </c>
      <c r="I42" s="150" t="str">
        <f t="shared" si="8"/>
        <v>86,8374172166559+35,7513650761681i</v>
      </c>
      <c r="J42" s="137" t="str">
        <f t="shared" si="4"/>
        <v>86,977698462621+35,6093185109891i</v>
      </c>
      <c r="K42" s="147" t="str">
        <f t="shared" si="9"/>
        <v>0,155+1,3i</v>
      </c>
    </row>
    <row r="43" spans="1:11" x14ac:dyDescent="0.2">
      <c r="A43" s="145">
        <v>32</v>
      </c>
      <c r="B43" s="85">
        <f t="shared" si="5"/>
        <v>160</v>
      </c>
      <c r="C43" s="110">
        <f t="shared" ref="C43:C71" si="10">IF(MOD(A43+$D$7,$D$7)+1=$D$7,1,0)</f>
        <v>0</v>
      </c>
      <c r="D43" s="148">
        <f t="shared" si="6"/>
        <v>87.132698462620993</v>
      </c>
      <c r="E43" s="149">
        <f t="shared" si="7"/>
        <v>36.909318510989102</v>
      </c>
      <c r="F43" s="85">
        <f t="shared" ref="F43:F71" si="11">SQRT(D43^2+E43^2)</f>
        <v>94.627717579595441</v>
      </c>
      <c r="G43" s="85">
        <f t="shared" ref="G43:G71" si="12">F43/$D$5</f>
        <v>1.182846469744943</v>
      </c>
      <c r="H43" s="110">
        <f t="shared" ref="H43:H71" si="13">COS(ATAN(E43/D43))</f>
        <v>0.92079467508375579</v>
      </c>
      <c r="I43" s="150" t="str">
        <f t="shared" si="8"/>
        <v>87,132698462621+36,9093185109891i</v>
      </c>
      <c r="J43" s="137" t="str">
        <f t="shared" ref="J43:J71" si="14">IMDIV(IMPRODUCT($J$5,I43), IMSUM(I43,$J$5))</f>
        <v>87,2780300676659+36,7679991268035i</v>
      </c>
      <c r="K43" s="147" t="str">
        <f t="shared" si="9"/>
        <v>0,155+1,3i</v>
      </c>
    </row>
    <row r="44" spans="1:11" x14ac:dyDescent="0.2">
      <c r="A44" s="145">
        <v>33</v>
      </c>
      <c r="B44" s="85">
        <f t="shared" ref="B44:B71" si="15">A44*$D$4</f>
        <v>165</v>
      </c>
      <c r="C44" s="110">
        <f t="shared" si="10"/>
        <v>0</v>
      </c>
      <c r="D44" s="148">
        <f t="shared" ref="D44:D71" si="16">IMREAL(I44)</f>
        <v>87.433030067665896</v>
      </c>
      <c r="E44" s="149">
        <f t="shared" ref="E44:E71" si="17">IMAGINARY(I44)</f>
        <v>38.0679991268035</v>
      </c>
      <c r="F44" s="85">
        <f t="shared" si="11"/>
        <v>95.360931750542804</v>
      </c>
      <c r="G44" s="85">
        <f t="shared" si="12"/>
        <v>1.192011646881785</v>
      </c>
      <c r="H44" s="110">
        <f t="shared" si="13"/>
        <v>0.91686425942632666</v>
      </c>
      <c r="I44" s="150" t="str">
        <f t="shared" ref="I44:I71" si="18">IMSUM(J43,K43)</f>
        <v>87,4330300676659+38,0679991268035i</v>
      </c>
      <c r="J44" s="137" t="str">
        <f t="shared" si="14"/>
        <v>87,5834549143196+37,9274448138512i</v>
      </c>
      <c r="K44" s="147" t="str">
        <f t="shared" ref="K44:K71" si="19">IMSUM($K$11, COMPLEX(0,C43*$J$6))</f>
        <v>0,155+1,3i</v>
      </c>
    </row>
    <row r="45" spans="1:11" x14ac:dyDescent="0.2">
      <c r="A45" s="145">
        <v>34</v>
      </c>
      <c r="B45" s="85">
        <f t="shared" si="15"/>
        <v>170</v>
      </c>
      <c r="C45" s="110">
        <f t="shared" si="10"/>
        <v>0</v>
      </c>
      <c r="D45" s="148">
        <f t="shared" si="16"/>
        <v>87.738454914319604</v>
      </c>
      <c r="E45" s="149">
        <f t="shared" si="17"/>
        <v>39.2274448138512</v>
      </c>
      <c r="F45" s="85">
        <f t="shared" si="11"/>
        <v>96.108422614128031</v>
      </c>
      <c r="G45" s="85">
        <f t="shared" si="12"/>
        <v>1.2013552826766003</v>
      </c>
      <c r="H45" s="110">
        <f t="shared" si="13"/>
        <v>0.91291119475122851</v>
      </c>
      <c r="I45" s="150" t="str">
        <f t="shared" si="18"/>
        <v>87,7384549143196+39,2274448138512i</v>
      </c>
      <c r="J45" s="137" t="str">
        <f t="shared" si="14"/>
        <v>87,8940169406275+39,0876932657592i</v>
      </c>
      <c r="K45" s="147" t="str">
        <f t="shared" si="19"/>
        <v>0,155+1,3i</v>
      </c>
    </row>
    <row r="46" spans="1:11" x14ac:dyDescent="0.2">
      <c r="A46" s="145">
        <v>35</v>
      </c>
      <c r="B46" s="85">
        <f t="shared" si="15"/>
        <v>175</v>
      </c>
      <c r="C46" s="110">
        <f t="shared" si="10"/>
        <v>0</v>
      </c>
      <c r="D46" s="148">
        <f t="shared" si="16"/>
        <v>88.049016940627496</v>
      </c>
      <c r="E46" s="149">
        <f t="shared" si="17"/>
        <v>40.387693265759196</v>
      </c>
      <c r="F46" s="85">
        <f t="shared" si="11"/>
        <v>96.869990975223885</v>
      </c>
      <c r="G46" s="85">
        <f t="shared" si="12"/>
        <v>1.2108748871902986</v>
      </c>
      <c r="H46" s="110">
        <f t="shared" si="13"/>
        <v>0.90894007580890035</v>
      </c>
      <c r="I46" s="150" t="str">
        <f t="shared" si="18"/>
        <v>88,0490169406275+40,3876932657592i</v>
      </c>
      <c r="J46" s="137" t="str">
        <f t="shared" si="14"/>
        <v>88,2097611535847+40,2487819770083i</v>
      </c>
      <c r="K46" s="147" t="str">
        <f t="shared" si="19"/>
        <v>0,155+1,3i</v>
      </c>
    </row>
    <row r="47" spans="1:11" x14ac:dyDescent="0.2">
      <c r="A47" s="145">
        <v>36</v>
      </c>
      <c r="B47" s="85">
        <f t="shared" si="15"/>
        <v>180</v>
      </c>
      <c r="C47" s="110">
        <f t="shared" si="10"/>
        <v>0</v>
      </c>
      <c r="D47" s="148">
        <f t="shared" si="16"/>
        <v>88.364761153584695</v>
      </c>
      <c r="E47" s="149">
        <f t="shared" si="17"/>
        <v>41.548781977008296</v>
      </c>
      <c r="F47" s="85">
        <f t="shared" si="11"/>
        <v>97.645441765107705</v>
      </c>
      <c r="G47" s="85">
        <f t="shared" si="12"/>
        <v>1.2205680220638464</v>
      </c>
      <c r="H47" s="110">
        <f t="shared" si="13"/>
        <v>0.90495531134112461</v>
      </c>
      <c r="I47" s="150" t="str">
        <f t="shared" si="18"/>
        <v>88,3647611535847+41,5487819770083i</v>
      </c>
      <c r="J47" s="137" t="str">
        <f t="shared" si="14"/>
        <v>88,5307336429526+41,4107482401231i</v>
      </c>
      <c r="K47" s="147" t="str">
        <f t="shared" si="19"/>
        <v>0,155+1,3i</v>
      </c>
    </row>
    <row r="48" spans="1:11" x14ac:dyDescent="0.2">
      <c r="A48" s="145">
        <v>37</v>
      </c>
      <c r="B48" s="85">
        <f t="shared" si="15"/>
        <v>185</v>
      </c>
      <c r="C48" s="110">
        <f t="shared" si="10"/>
        <v>0</v>
      </c>
      <c r="D48" s="148">
        <f t="shared" si="16"/>
        <v>88.685733642952599</v>
      </c>
      <c r="E48" s="149">
        <f t="shared" si="17"/>
        <v>42.710748240123102</v>
      </c>
      <c r="F48" s="85">
        <f t="shared" si="11"/>
        <v>98.434584201996373</v>
      </c>
      <c r="G48" s="85">
        <f t="shared" si="12"/>
        <v>1.2304323025249546</v>
      </c>
      <c r="H48" s="110">
        <f t="shared" si="13"/>
        <v>0.90096112420164975</v>
      </c>
      <c r="I48" s="150" t="str">
        <f t="shared" si="18"/>
        <v>88,6857336429526+42,7107482401231i</v>
      </c>
      <c r="J48" s="137" t="str">
        <f t="shared" si="14"/>
        <v>88,8569815954653+42,5736291425816i</v>
      </c>
      <c r="K48" s="147" t="str">
        <f t="shared" si="19"/>
        <v>0,155+1,3i</v>
      </c>
    </row>
    <row r="49" spans="1:11" x14ac:dyDescent="0.2">
      <c r="A49" s="145">
        <v>38</v>
      </c>
      <c r="B49" s="85">
        <f t="shared" si="15"/>
        <v>190</v>
      </c>
      <c r="C49" s="110">
        <f t="shared" si="10"/>
        <v>0</v>
      </c>
      <c r="D49" s="148">
        <f t="shared" si="16"/>
        <v>89.011981595465301</v>
      </c>
      <c r="E49" s="149">
        <f t="shared" si="17"/>
        <v>43.873629142581599</v>
      </c>
      <c r="F49" s="85">
        <f t="shared" si="11"/>
        <v>99.237231932839805</v>
      </c>
      <c r="G49" s="85">
        <f t="shared" si="12"/>
        <v>1.2404653991604975</v>
      </c>
      <c r="H49" s="110">
        <f t="shared" si="13"/>
        <v>0.89696155224991991</v>
      </c>
      <c r="I49" s="150" t="str">
        <f t="shared" si="18"/>
        <v>89,0119815954653+43,8736291425816i</v>
      </c>
      <c r="J49" s="137" t="str">
        <f t="shared" si="14"/>
        <v>89,188553309428+43,7374615634304i</v>
      </c>
      <c r="K49" s="147" t="str">
        <f t="shared" si="19"/>
        <v>0,155+1,3i</v>
      </c>
    </row>
    <row r="50" spans="1:11" x14ac:dyDescent="0.2">
      <c r="A50" s="145">
        <v>39</v>
      </c>
      <c r="B50" s="85">
        <f t="shared" si="15"/>
        <v>195</v>
      </c>
      <c r="C50" s="110">
        <f t="shared" si="10"/>
        <v>0</v>
      </c>
      <c r="D50" s="148">
        <f t="shared" si="16"/>
        <v>89.343553309428003</v>
      </c>
      <c r="E50" s="149">
        <f t="shared" si="17"/>
        <v>45.037461563430398</v>
      </c>
      <c r="F50" s="85">
        <f t="shared" si="11"/>
        <v>100.05320315728065</v>
      </c>
      <c r="G50" s="85">
        <f t="shared" si="12"/>
        <v>1.2506650394660082</v>
      </c>
      <c r="H50" s="110">
        <f t="shared" si="13"/>
        <v>0.89296044994164359</v>
      </c>
      <c r="I50" s="150" t="str">
        <f t="shared" si="18"/>
        <v>89,343553309428+45,0374615634304i</v>
      </c>
      <c r="J50" s="137" t="str">
        <f t="shared" si="14"/>
        <v>89,5254982097152+44,9022821695999i</v>
      </c>
      <c r="K50" s="147" t="str">
        <f t="shared" si="19"/>
        <v>0,155+1,3i</v>
      </c>
    </row>
    <row r="51" spans="1:11" x14ac:dyDescent="0.2">
      <c r="A51" s="145">
        <v>40</v>
      </c>
      <c r="B51" s="85">
        <f t="shared" si="15"/>
        <v>200</v>
      </c>
      <c r="C51" s="110">
        <f t="shared" si="10"/>
        <v>0</v>
      </c>
      <c r="D51" s="148">
        <f t="shared" si="16"/>
        <v>89.680498209715196</v>
      </c>
      <c r="E51" s="149">
        <f t="shared" si="17"/>
        <v>46.202282169599897</v>
      </c>
      <c r="F51" s="85">
        <f t="shared" si="11"/>
        <v>100.88232073471575</v>
      </c>
      <c r="G51" s="85">
        <f t="shared" si="12"/>
        <v>1.2610290091839469</v>
      </c>
      <c r="H51" s="110">
        <f t="shared" si="13"/>
        <v>0.88896149054245766</v>
      </c>
      <c r="I51" s="150" t="str">
        <f t="shared" si="18"/>
        <v>89,6804982097152+46,2022821695999i</v>
      </c>
      <c r="J51" s="137" t="str">
        <f t="shared" si="14"/>
        <v>89,867866863174+46,0681274119087i</v>
      </c>
      <c r="K51" s="147" t="str">
        <f t="shared" si="19"/>
        <v>0,155+1,3i</v>
      </c>
    </row>
    <row r="52" spans="1:11" x14ac:dyDescent="0.2">
      <c r="A52" s="145">
        <v>41</v>
      </c>
      <c r="B52" s="85">
        <f t="shared" si="15"/>
        <v>205</v>
      </c>
      <c r="C52" s="110">
        <f t="shared" si="10"/>
        <v>0</v>
      </c>
      <c r="D52" s="148">
        <f t="shared" si="16"/>
        <v>90.022866863174002</v>
      </c>
      <c r="E52" s="149">
        <f t="shared" si="17"/>
        <v>47.368127411908702</v>
      </c>
      <c r="F52" s="85">
        <f t="shared" si="11"/>
        <v>101.7244122754001</v>
      </c>
      <c r="G52" s="85">
        <f t="shared" si="12"/>
        <v>1.2715551534425011</v>
      </c>
      <c r="H52" s="110">
        <f t="shared" si="13"/>
        <v>0.88496816889394936</v>
      </c>
      <c r="I52" s="150" t="str">
        <f t="shared" si="18"/>
        <v>90,022866863174+47,3681274119087i</v>
      </c>
      <c r="J52" s="137" t="str">
        <f t="shared" si="14"/>
        <v>90,2157109944365+47,2350335207495i</v>
      </c>
      <c r="K52" s="147" t="str">
        <f t="shared" si="19"/>
        <v>0,155+1,3i</v>
      </c>
    </row>
    <row r="53" spans="1:11" x14ac:dyDescent="0.2">
      <c r="A53" s="145">
        <v>42</v>
      </c>
      <c r="B53" s="85">
        <f t="shared" si="15"/>
        <v>210</v>
      </c>
      <c r="C53" s="110">
        <f t="shared" si="10"/>
        <v>0</v>
      </c>
      <c r="D53" s="148">
        <f t="shared" si="16"/>
        <v>90.370710994436493</v>
      </c>
      <c r="E53" s="149">
        <f t="shared" si="17"/>
        <v>48.535033520749501</v>
      </c>
      <c r="F53" s="85">
        <f t="shared" si="11"/>
        <v>102.57931021653559</v>
      </c>
      <c r="G53" s="85">
        <f t="shared" si="12"/>
        <v>1.2822413777066948</v>
      </c>
      <c r="H53" s="110">
        <f t="shared" si="13"/>
        <v>0.88098380466462634</v>
      </c>
      <c r="I53" s="150" t="str">
        <f t="shared" si="18"/>
        <v>90,3707109944365+48,5350335207495i</v>
      </c>
      <c r="J53" s="137" t="str">
        <f t="shared" si="14"/>
        <v>90,5690835021486+48,4030365014435i</v>
      </c>
      <c r="K53" s="147" t="str">
        <f t="shared" si="19"/>
        <v>0,155+1,3i</v>
      </c>
    </row>
    <row r="54" spans="1:11" x14ac:dyDescent="0.2">
      <c r="A54" s="145">
        <v>43</v>
      </c>
      <c r="B54" s="85">
        <f t="shared" si="15"/>
        <v>215</v>
      </c>
      <c r="C54" s="110">
        <f t="shared" si="10"/>
        <v>0</v>
      </c>
      <c r="D54" s="148">
        <f t="shared" si="16"/>
        <v>90.724083502148602</v>
      </c>
      <c r="E54" s="149">
        <f t="shared" si="17"/>
        <v>49.703036501443499</v>
      </c>
      <c r="F54" s="85">
        <f t="shared" si="11"/>
        <v>103.44685188428238</v>
      </c>
      <c r="G54" s="85">
        <f t="shared" si="12"/>
        <v>1.2930856485535298</v>
      </c>
      <c r="H54" s="110">
        <f t="shared" si="13"/>
        <v>0.87701154602205089</v>
      </c>
      <c r="I54" s="150" t="str">
        <f t="shared" si="18"/>
        <v>90,7240835021486+49,7030365014435i</v>
      </c>
      <c r="J54" s="137" t="str">
        <f t="shared" si="14"/>
        <v>90,9280384756214+49,5721721292551i</v>
      </c>
      <c r="K54" s="147" t="str">
        <f t="shared" si="19"/>
        <v>0,155+1,3i</v>
      </c>
    </row>
    <row r="55" spans="1:11" x14ac:dyDescent="0.2">
      <c r="A55" s="145">
        <v>44</v>
      </c>
      <c r="B55" s="85">
        <f t="shared" si="15"/>
        <v>220</v>
      </c>
      <c r="C55" s="110">
        <f t="shared" si="10"/>
        <v>0</v>
      </c>
      <c r="D55" s="148">
        <f t="shared" si="16"/>
        <v>91.083038475621393</v>
      </c>
      <c r="E55" s="149">
        <f t="shared" si="17"/>
        <v>50.872172129255098</v>
      </c>
      <c r="F55" s="85">
        <f t="shared" si="11"/>
        <v>104.32687954261877</v>
      </c>
      <c r="G55" s="85">
        <f t="shared" si="12"/>
        <v>1.3040859942827345</v>
      </c>
      <c r="H55" s="110">
        <f t="shared" si="13"/>
        <v>0.87305437366611638</v>
      </c>
      <c r="I55" s="150" t="str">
        <f t="shared" si="18"/>
        <v>91,0830384756214+50,8721721292551i</v>
      </c>
      <c r="J55" s="137" t="str">
        <f t="shared" si="14"/>
        <v>91,2926312119098+50,7424759440559i</v>
      </c>
      <c r="K55" s="147" t="str">
        <f t="shared" si="19"/>
        <v>0,155+1,3i</v>
      </c>
    </row>
    <row r="56" spans="1:11" x14ac:dyDescent="0.2">
      <c r="A56" s="145">
        <v>45</v>
      </c>
      <c r="B56" s="85">
        <f t="shared" si="15"/>
        <v>225</v>
      </c>
      <c r="C56" s="110">
        <f t="shared" si="10"/>
        <v>0</v>
      </c>
      <c r="D56" s="148">
        <f t="shared" si="16"/>
        <v>91.447631211909794</v>
      </c>
      <c r="E56" s="149">
        <f t="shared" si="17"/>
        <v>52.042475944055901</v>
      </c>
      <c r="F56" s="85">
        <f t="shared" si="11"/>
        <v>105.219240429957</v>
      </c>
      <c r="G56" s="85">
        <f t="shared" si="12"/>
        <v>1.3152405053744625</v>
      </c>
      <c r="H56" s="110">
        <f t="shared" si="13"/>
        <v>0.86911510516734092</v>
      </c>
      <c r="I56" s="150" t="str">
        <f t="shared" si="18"/>
        <v>91,4476312119098+52,0424759440559i</v>
      </c>
      <c r="J56" s="137" t="str">
        <f t="shared" si="14"/>
        <v>91,6629182333254+51,913983244625i</v>
      </c>
      <c r="K56" s="147" t="str">
        <f t="shared" si="19"/>
        <v>0,155+1,3i</v>
      </c>
    </row>
    <row r="57" spans="1:11" x14ac:dyDescent="0.2">
      <c r="A57" s="145">
        <v>46</v>
      </c>
      <c r="B57" s="85">
        <f t="shared" si="15"/>
        <v>230</v>
      </c>
      <c r="C57" s="110">
        <f t="shared" si="10"/>
        <v>0</v>
      </c>
      <c r="D57" s="148">
        <f t="shared" si="16"/>
        <v>91.8179182333254</v>
      </c>
      <c r="E57" s="149">
        <f t="shared" si="17"/>
        <v>53.213983244624998</v>
      </c>
      <c r="F57" s="85">
        <f t="shared" si="11"/>
        <v>106.12378678440031</v>
      </c>
      <c r="G57" s="85">
        <f t="shared" si="12"/>
        <v>1.3265473348050039</v>
      </c>
      <c r="H57" s="110">
        <f t="shared" si="13"/>
        <v>0.86519639955801309</v>
      </c>
      <c r="I57" s="150" t="str">
        <f t="shared" si="18"/>
        <v>91,8179182333254+53,213983244625i</v>
      </c>
      <c r="J57" s="137" t="str">
        <f t="shared" si="14"/>
        <v>92,0389573053896+53,0867290825751i</v>
      </c>
      <c r="K57" s="147" t="str">
        <f t="shared" si="19"/>
        <v>0,155+1,3i</v>
      </c>
    </row>
    <row r="58" spans="1:11" x14ac:dyDescent="0.2">
      <c r="A58" s="145">
        <v>47</v>
      </c>
      <c r="B58" s="85">
        <f t="shared" si="15"/>
        <v>235</v>
      </c>
      <c r="C58" s="110">
        <f t="shared" si="10"/>
        <v>0</v>
      </c>
      <c r="D58" s="148">
        <f t="shared" si="16"/>
        <v>92.193957305389603</v>
      </c>
      <c r="E58" s="149">
        <f t="shared" si="17"/>
        <v>54.386729082575101</v>
      </c>
      <c r="F58" s="85">
        <f t="shared" si="11"/>
        <v>107.0403758585022</v>
      </c>
      <c r="G58" s="85">
        <f t="shared" si="12"/>
        <v>1.3380046982312774</v>
      </c>
      <c r="H58" s="110">
        <f t="shared" si="13"/>
        <v>0.86130076212794471</v>
      </c>
      <c r="I58" s="150" t="str">
        <f t="shared" si="18"/>
        <v>92,1939573053896+54,3867290825751i</v>
      </c>
      <c r="J58" s="137" t="str">
        <f t="shared" si="14"/>
        <v>92,4208074552348+54,2607482558933i</v>
      </c>
      <c r="K58" s="147" t="str">
        <f t="shared" si="19"/>
        <v>0,155+1,3i</v>
      </c>
    </row>
    <row r="59" spans="1:11" x14ac:dyDescent="0.2">
      <c r="A59" s="145">
        <v>48</v>
      </c>
      <c r="B59" s="85">
        <f t="shared" si="15"/>
        <v>240</v>
      </c>
      <c r="C59" s="110">
        <f t="shared" si="10"/>
        <v>0</v>
      </c>
      <c r="D59" s="148">
        <f t="shared" si="16"/>
        <v>92.575807455234795</v>
      </c>
      <c r="E59" s="149">
        <f t="shared" si="17"/>
        <v>55.560748255893301</v>
      </c>
      <c r="F59" s="85">
        <f t="shared" si="11"/>
        <v>107.9688699243604</v>
      </c>
      <c r="G59" s="85">
        <f t="shared" si="12"/>
        <v>1.349610874054505</v>
      </c>
      <c r="H59" s="110">
        <f t="shared" si="13"/>
        <v>0.85743054938048802</v>
      </c>
      <c r="I59" s="150" t="str">
        <f t="shared" si="18"/>
        <v>92,5758074552348+55,5607482558933i</v>
      </c>
      <c r="J59" s="137" t="str">
        <f t="shared" si="14"/>
        <v>92,8085289904569+55,4360753020809i</v>
      </c>
      <c r="K59" s="147" t="str">
        <f t="shared" si="19"/>
        <v>0,155+1,3i</v>
      </c>
    </row>
    <row r="60" spans="1:11" x14ac:dyDescent="0.2">
      <c r="A60" s="145">
        <v>49</v>
      </c>
      <c r="B60" s="85">
        <f t="shared" si="15"/>
        <v>245</v>
      </c>
      <c r="C60" s="110">
        <f t="shared" si="10"/>
        <v>0</v>
      </c>
      <c r="D60" s="148">
        <f t="shared" si="16"/>
        <v>92.963528990456894</v>
      </c>
      <c r="E60" s="149">
        <f t="shared" si="17"/>
        <v>56.736075302080899</v>
      </c>
      <c r="F60" s="85">
        <f t="shared" si="11"/>
        <v>108.90913626984154</v>
      </c>
      <c r="G60" s="85">
        <f t="shared" si="12"/>
        <v>1.3613642033730193</v>
      </c>
      <c r="H60" s="110">
        <f t="shared" si="13"/>
        <v>0.85358797410828235</v>
      </c>
      <c r="I60" s="150" t="str">
        <f t="shared" si="18"/>
        <v>92,9635289904569+56,7360753020809i</v>
      </c>
      <c r="J60" s="137" t="str">
        <f t="shared" si="14"/>
        <v>93,2021835184292+56,612744490881i</v>
      </c>
      <c r="K60" s="147" t="str">
        <f t="shared" si="19"/>
        <v>0,155+1,3i</v>
      </c>
    </row>
    <row r="61" spans="1:11" x14ac:dyDescent="0.2">
      <c r="A61" s="145">
        <v>50</v>
      </c>
      <c r="B61" s="85">
        <f t="shared" si="15"/>
        <v>250</v>
      </c>
      <c r="C61" s="110">
        <f t="shared" si="10"/>
        <v>0</v>
      </c>
      <c r="D61" s="148">
        <f t="shared" si="16"/>
        <v>93.357183518429196</v>
      </c>
      <c r="E61" s="149">
        <f t="shared" si="17"/>
        <v>57.912744490881003</v>
      </c>
      <c r="F61" s="85">
        <f t="shared" si="11"/>
        <v>109.86104718670643</v>
      </c>
      <c r="G61" s="85">
        <f t="shared" si="12"/>
        <v>1.3732630898338303</v>
      </c>
      <c r="H61" s="110">
        <f t="shared" si="13"/>
        <v>0.84977511055188393</v>
      </c>
      <c r="I61" s="150" t="str">
        <f t="shared" si="18"/>
        <v>93,3571835184292+57,912744490881i</v>
      </c>
      <c r="J61" s="137" t="str">
        <f t="shared" si="14"/>
        <v>93,6018339660831+57,7907898165812i</v>
      </c>
      <c r="K61" s="147" t="str">
        <f t="shared" si="19"/>
        <v>0,155+1,3i</v>
      </c>
    </row>
    <row r="62" spans="1:11" x14ac:dyDescent="0.2">
      <c r="A62" s="145">
        <v>51</v>
      </c>
      <c r="B62" s="85">
        <f t="shared" si="15"/>
        <v>255</v>
      </c>
      <c r="C62" s="110">
        <f t="shared" si="10"/>
        <v>0</v>
      </c>
      <c r="D62" s="148">
        <f t="shared" si="16"/>
        <v>93.756833966083093</v>
      </c>
      <c r="E62" s="149">
        <f t="shared" si="17"/>
        <v>59.0907898165812</v>
      </c>
      <c r="F62" s="85">
        <f t="shared" si="11"/>
        <v>110.82447995136746</v>
      </c>
      <c r="G62" s="85">
        <f t="shared" si="12"/>
        <v>1.3853059993920933</v>
      </c>
      <c r="H62" s="110">
        <f t="shared" si="13"/>
        <v>0.845993899607974</v>
      </c>
      <c r="I62" s="150" t="str">
        <f t="shared" si="18"/>
        <v>93,7568339660831+59,0907898165812i</v>
      </c>
      <c r="J62" s="137" t="str">
        <f t="shared" si="14"/>
        <v>94,0075446001619+58,9702449898738i</v>
      </c>
      <c r="K62" s="147" t="str">
        <f t="shared" si="19"/>
        <v>0,155+1,3i</v>
      </c>
    </row>
    <row r="63" spans="1:11" x14ac:dyDescent="0.2">
      <c r="A63" s="145">
        <v>52</v>
      </c>
      <c r="B63" s="85">
        <f t="shared" si="15"/>
        <v>260</v>
      </c>
      <c r="C63" s="110">
        <f t="shared" si="10"/>
        <v>0</v>
      </c>
      <c r="D63" s="148">
        <f t="shared" si="16"/>
        <v>94.162544600161894</v>
      </c>
      <c r="E63" s="149">
        <f t="shared" si="17"/>
        <v>60.270244989873802</v>
      </c>
      <c r="F63" s="85">
        <f t="shared" si="11"/>
        <v>111.79931679897193</v>
      </c>
      <c r="G63" s="85">
        <f t="shared" si="12"/>
        <v>1.3974914599871491</v>
      </c>
      <c r="H63" s="110">
        <f t="shared" si="13"/>
        <v>0.84224615405724723</v>
      </c>
      <c r="I63" s="150" t="str">
        <f t="shared" si="18"/>
        <v>94,1625446001619+60,2702449898738i</v>
      </c>
      <c r="J63" s="137" t="str">
        <f t="shared" si="14"/>
        <v>94,4193810479551+60,151143429262i</v>
      </c>
      <c r="K63" s="147" t="str">
        <f t="shared" si="19"/>
        <v>0,155+1,3i</v>
      </c>
    </row>
    <row r="64" spans="1:11" x14ac:dyDescent="0.2">
      <c r="A64" s="145">
        <v>53</v>
      </c>
      <c r="B64" s="85">
        <f t="shared" si="15"/>
        <v>265</v>
      </c>
      <c r="C64" s="110">
        <f t="shared" si="10"/>
        <v>0</v>
      </c>
      <c r="D64" s="148">
        <f t="shared" si="16"/>
        <v>94.5743810479551</v>
      </c>
      <c r="E64" s="149">
        <f t="shared" si="17"/>
        <v>61.451143429261997</v>
      </c>
      <c r="F64" s="85">
        <f t="shared" si="11"/>
        <v>112.7854448914732</v>
      </c>
      <c r="G64" s="85">
        <f t="shared" si="12"/>
        <v>1.409818061143415</v>
      </c>
      <c r="H64" s="110">
        <f t="shared" si="13"/>
        <v>0.83853356378527799</v>
      </c>
      <c r="I64" s="150" t="str">
        <f t="shared" si="18"/>
        <v>94,5743810479551+61,451143429262i</v>
      </c>
      <c r="J64" s="137" t="str">
        <f t="shared" si="14"/>
        <v>94,8374103185212+61,3335182519944i</v>
      </c>
      <c r="K64" s="147" t="str">
        <f t="shared" si="19"/>
        <v>0,155+1,3i</v>
      </c>
    </row>
    <row r="65" spans="1:11" x14ac:dyDescent="0.2">
      <c r="A65" s="145">
        <v>54</v>
      </c>
      <c r="B65" s="85">
        <f t="shared" si="15"/>
        <v>270</v>
      </c>
      <c r="C65" s="110">
        <f t="shared" si="10"/>
        <v>0</v>
      </c>
      <c r="D65" s="148">
        <f t="shared" si="16"/>
        <v>94.992410318521195</v>
      </c>
      <c r="E65" s="149">
        <f t="shared" si="17"/>
        <v>62.633518251994403</v>
      </c>
      <c r="F65" s="85">
        <f t="shared" si="11"/>
        <v>113.78275628031344</v>
      </c>
      <c r="G65" s="85">
        <f t="shared" si="12"/>
        <v>1.4222844535039179</v>
      </c>
      <c r="H65" s="110">
        <f t="shared" si="13"/>
        <v>0.83485770097271472</v>
      </c>
      <c r="I65" s="150" t="str">
        <f t="shared" si="18"/>
        <v>94,9924103185212+62,6335182519944i</v>
      </c>
      <c r="J65" s="137" t="str">
        <f t="shared" si="14"/>
        <v>95,2617008244039+62,5174022645135i</v>
      </c>
      <c r="K65" s="147" t="str">
        <f t="shared" si="19"/>
        <v>0,155+1,3i</v>
      </c>
    </row>
    <row r="66" spans="1:11" x14ac:dyDescent="0.2">
      <c r="A66" s="145">
        <v>55</v>
      </c>
      <c r="B66" s="85">
        <f t="shared" si="15"/>
        <v>275</v>
      </c>
      <c r="C66" s="110">
        <f t="shared" si="10"/>
        <v>0</v>
      </c>
      <c r="D66" s="148">
        <f t="shared" si="16"/>
        <v>95.416700824403904</v>
      </c>
      <c r="E66" s="149">
        <f t="shared" si="17"/>
        <v>63.817402264513497</v>
      </c>
      <c r="F66" s="85">
        <f t="shared" si="11"/>
        <v>114.79114786430412</v>
      </c>
      <c r="G66" s="85">
        <f t="shared" si="12"/>
        <v>1.4348893483038014</v>
      </c>
      <c r="H66" s="110">
        <f t="shared" si="13"/>
        <v>0.83122002523397565</v>
      </c>
      <c r="I66" s="150" t="str">
        <f t="shared" si="18"/>
        <v>95,4167008244039+63,8174022645135i</v>
      </c>
      <c r="J66" s="137" t="str">
        <f t="shared" si="14"/>
        <v>95,6923224038518+63,7028279523999i</v>
      </c>
      <c r="K66" s="147" t="str">
        <f t="shared" si="19"/>
        <v>0,155+1,3i</v>
      </c>
    </row>
    <row r="67" spans="1:11" x14ac:dyDescent="0.2">
      <c r="A67" s="145">
        <v>56</v>
      </c>
      <c r="B67" s="85">
        <f t="shared" si="15"/>
        <v>280</v>
      </c>
      <c r="C67" s="110">
        <f t="shared" si="10"/>
        <v>0</v>
      </c>
      <c r="D67" s="148">
        <f t="shared" si="16"/>
        <v>95.847322403851805</v>
      </c>
      <c r="E67" s="149">
        <f t="shared" si="17"/>
        <v>65.002827952399898</v>
      </c>
      <c r="F67" s="85">
        <f t="shared" si="11"/>
        <v>115.81052134325799</v>
      </c>
      <c r="G67" s="85">
        <f t="shared" si="12"/>
        <v>1.4476315167907248</v>
      </c>
      <c r="H67" s="110">
        <f t="shared" si="13"/>
        <v>0.82762188868629627</v>
      </c>
      <c r="I67" s="150" t="str">
        <f t="shared" si="18"/>
        <v>95,8473224038518+65,0028279523999i</v>
      </c>
      <c r="J67" s="137" t="str">
        <f t="shared" si="14"/>
        <v>96,1293463435473+64,8898274697964i</v>
      </c>
      <c r="K67" s="147" t="str">
        <f t="shared" si="19"/>
        <v>0,155+1,3i</v>
      </c>
    </row>
    <row r="68" spans="1:11" x14ac:dyDescent="0.2">
      <c r="A68" s="145">
        <v>57</v>
      </c>
      <c r="B68" s="85">
        <f t="shared" si="15"/>
        <v>285</v>
      </c>
      <c r="C68" s="110">
        <f t="shared" si="10"/>
        <v>0</v>
      </c>
      <c r="D68" s="148">
        <f t="shared" si="16"/>
        <v>96.284346343547298</v>
      </c>
      <c r="E68" s="149">
        <f t="shared" si="17"/>
        <v>66.189827469796398</v>
      </c>
      <c r="F68" s="85">
        <f t="shared" si="11"/>
        <v>116.8407831678887</v>
      </c>
      <c r="G68" s="85">
        <f t="shared" si="12"/>
        <v>1.4605097895986088</v>
      </c>
      <c r="H68" s="110">
        <f t="shared" si="13"/>
        <v>0.82406454093341863</v>
      </c>
      <c r="I68" s="150" t="str">
        <f t="shared" si="18"/>
        <v>96,2843463435473+66,1898274697964i</v>
      </c>
      <c r="J68" s="137" t="str">
        <f t="shared" si="14"/>
        <v>96,572845401851+66,0784326282938i</v>
      </c>
      <c r="K68" s="147" t="str">
        <f t="shared" si="19"/>
        <v>0,155+1,3i</v>
      </c>
    </row>
    <row r="69" spans="1:11" x14ac:dyDescent="0.2">
      <c r="A69" s="145">
        <v>58</v>
      </c>
      <c r="B69" s="85">
        <f t="shared" si="15"/>
        <v>290</v>
      </c>
      <c r="C69" s="110">
        <f t="shared" si="10"/>
        <v>0</v>
      </c>
      <c r="D69" s="148">
        <f t="shared" si="16"/>
        <v>96.727845401850999</v>
      </c>
      <c r="E69" s="149">
        <f t="shared" si="17"/>
        <v>67.378432628293794</v>
      </c>
      <c r="F69" s="85">
        <f t="shared" si="11"/>
        <v>117.88184448645988</v>
      </c>
      <c r="G69" s="85">
        <f t="shared" si="12"/>
        <v>1.4735230560807486</v>
      </c>
      <c r="H69" s="110">
        <f t="shared" si="13"/>
        <v>0.82054913395049001</v>
      </c>
      <c r="I69" s="150" t="str">
        <f t="shared" si="18"/>
        <v>96,727845401851+67,3784326282938i</v>
      </c>
      <c r="J69" s="137" t="str">
        <f t="shared" si="14"/>
        <v>97,0228938325714+67,268674885258i</v>
      </c>
      <c r="K69" s="147" t="str">
        <f t="shared" si="19"/>
        <v>0,155+1,3i</v>
      </c>
    </row>
    <row r="70" spans="1:11" x14ac:dyDescent="0.2">
      <c r="A70" s="145">
        <v>59</v>
      </c>
      <c r="B70" s="85">
        <f t="shared" si="15"/>
        <v>295</v>
      </c>
      <c r="C70" s="110">
        <f t="shared" si="10"/>
        <v>0</v>
      </c>
      <c r="D70" s="148">
        <f t="shared" si="16"/>
        <v>97.177893832571399</v>
      </c>
      <c r="E70" s="149">
        <f t="shared" si="17"/>
        <v>68.568674885258005</v>
      </c>
      <c r="F70" s="85">
        <f t="shared" si="11"/>
        <v>118.93362108863384</v>
      </c>
      <c r="G70" s="85">
        <f t="shared" si="12"/>
        <v>1.486670263607923</v>
      </c>
      <c r="H70" s="110">
        <f t="shared" si="13"/>
        <v>0.81707672685884791</v>
      </c>
      <c r="I70" s="150" t="str">
        <f t="shared" si="18"/>
        <v>97,1778938325714+68,568674885258i</v>
      </c>
      <c r="J70" s="137" t="str">
        <f t="shared" si="14"/>
        <v>97,4795674092673+68,4605853315821i</v>
      </c>
      <c r="K70" s="147" t="str">
        <f t="shared" si="19"/>
        <v>0,155+1,3i</v>
      </c>
    </row>
    <row r="71" spans="1:11" x14ac:dyDescent="0.2">
      <c r="A71" s="151">
        <v>60</v>
      </c>
      <c r="B71" s="152">
        <f t="shared" si="15"/>
        <v>300</v>
      </c>
      <c r="C71" s="123">
        <f t="shared" si="10"/>
        <v>0</v>
      </c>
      <c r="D71" s="153">
        <f t="shared" si="16"/>
        <v>97.634567409267305</v>
      </c>
      <c r="E71" s="154">
        <f t="shared" si="17"/>
        <v>69.760585331582107</v>
      </c>
      <c r="F71" s="152">
        <f t="shared" si="11"/>
        <v>119.99603334693906</v>
      </c>
      <c r="G71" s="152">
        <f t="shared" si="12"/>
        <v>1.4999504168367381</v>
      </c>
      <c r="H71" s="123">
        <f t="shared" si="13"/>
        <v>0.81364829058124721</v>
      </c>
      <c r="I71" s="155" t="str">
        <f t="shared" si="18"/>
        <v>97,6345674092673+69,7605853315821i</v>
      </c>
      <c r="J71" s="156" t="str">
        <f t="shared" si="14"/>
        <v>97,9429434500873+69,6541946788406i</v>
      </c>
      <c r="K71" s="157" t="str">
        <f t="shared" si="19"/>
        <v>0,155+1,3i</v>
      </c>
    </row>
  </sheetData>
  <mergeCells count="3">
    <mergeCell ref="A9:C9"/>
    <mergeCell ref="D9:H9"/>
    <mergeCell ref="I9:K9"/>
  </mergeCells>
  <pageMargins left="0.75" right="0.75" top="1" bottom="1" header="0.51180555555555496" footer="0.51180555555555496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D888F-D79C-F64E-838C-44AFB89C5F03}">
  <dimension ref="A1:BL71"/>
  <sheetViews>
    <sheetView tabSelected="1" workbookViewId="0">
      <selection activeCell="D5" sqref="D5"/>
    </sheetView>
  </sheetViews>
  <sheetFormatPr baseColWidth="10" defaultRowHeight="16" x14ac:dyDescent="0.2"/>
  <cols>
    <col min="1" max="1" width="16.33203125" style="158" customWidth="1"/>
    <col min="2" max="3" width="14.6640625" style="158" customWidth="1"/>
    <col min="4" max="4" width="17" style="158" customWidth="1"/>
    <col min="5" max="9" width="14.6640625" style="158" customWidth="1"/>
    <col min="10" max="10" width="46.33203125" style="158" customWidth="1"/>
    <col min="11" max="11" width="16.33203125" style="158" customWidth="1"/>
    <col min="12" max="64" width="14.6640625" style="158" customWidth="1"/>
    <col min="65" max="1024" width="14.6640625" style="191" customWidth="1"/>
    <col min="1025" max="16384" width="10.83203125" style="191"/>
  </cols>
  <sheetData>
    <row r="1" spans="1:21" x14ac:dyDescent="0.2">
      <c r="A1" s="158" t="s">
        <v>121</v>
      </c>
      <c r="B1" s="158" t="s">
        <v>133</v>
      </c>
      <c r="D1" s="194">
        <v>1.0999999999999999E-2</v>
      </c>
      <c r="E1" s="158" t="s">
        <v>134</v>
      </c>
      <c r="F1" s="158" t="s">
        <v>168</v>
      </c>
      <c r="G1" s="158">
        <v>380</v>
      </c>
      <c r="H1" s="158" t="s">
        <v>169</v>
      </c>
      <c r="I1" s="158" t="s">
        <v>22</v>
      </c>
      <c r="J1" s="158">
        <f>D1*D4</f>
        <v>5.4999999999999993E-2</v>
      </c>
      <c r="K1" s="158" t="s">
        <v>51</v>
      </c>
      <c r="L1" s="159"/>
      <c r="M1" s="159"/>
      <c r="N1" s="159"/>
      <c r="O1" s="159"/>
      <c r="P1" s="159"/>
      <c r="Q1" s="159"/>
      <c r="R1" s="159"/>
      <c r="S1" s="159"/>
      <c r="T1" s="159"/>
      <c r="U1" s="159"/>
    </row>
    <row r="2" spans="1:21" x14ac:dyDescent="0.2">
      <c r="B2" s="158" t="s">
        <v>135</v>
      </c>
      <c r="D2" s="194">
        <v>0.18</v>
      </c>
      <c r="E2" s="158" t="s">
        <v>134</v>
      </c>
      <c r="I2" s="158" t="s">
        <v>27</v>
      </c>
      <c r="J2" s="158">
        <f>D2*D4</f>
        <v>0.89999999999999991</v>
      </c>
      <c r="K2" s="158" t="s">
        <v>51</v>
      </c>
      <c r="L2" s="159"/>
      <c r="M2" s="159"/>
      <c r="N2" s="159"/>
      <c r="O2" s="159"/>
      <c r="P2" s="159"/>
      <c r="Q2" s="159"/>
      <c r="R2" s="159"/>
      <c r="S2" s="159"/>
      <c r="T2" s="159"/>
      <c r="U2" s="159"/>
    </row>
    <row r="3" spans="1:21" x14ac:dyDescent="0.2">
      <c r="B3" s="158" t="s">
        <v>136</v>
      </c>
      <c r="D3" s="192">
        <v>245</v>
      </c>
      <c r="E3" s="158" t="s">
        <v>137</v>
      </c>
      <c r="I3" s="158" t="s">
        <v>138</v>
      </c>
      <c r="J3" s="158">
        <f>D3*D4</f>
        <v>1225</v>
      </c>
      <c r="K3" s="158" t="s">
        <v>139</v>
      </c>
      <c r="L3" s="159"/>
      <c r="M3" s="159"/>
      <c r="N3" s="159"/>
      <c r="O3" s="159"/>
      <c r="P3" s="159"/>
      <c r="Q3" s="159"/>
      <c r="R3" s="159"/>
      <c r="S3" s="159"/>
      <c r="T3" s="159"/>
      <c r="U3" s="159"/>
    </row>
    <row r="4" spans="1:21" ht="17" thickBot="1" x14ac:dyDescent="0.25">
      <c r="B4" s="158" t="s">
        <v>140</v>
      </c>
      <c r="D4" s="160">
        <v>5</v>
      </c>
      <c r="E4" s="158" t="s">
        <v>118</v>
      </c>
      <c r="I4" s="158" t="s">
        <v>141</v>
      </c>
      <c r="J4" s="161">
        <f>-1/(J3*2*PI()*50/1000000000)</f>
        <v>-2598.4480504799239</v>
      </c>
      <c r="K4" s="158" t="s">
        <v>51</v>
      </c>
      <c r="L4" s="159"/>
      <c r="M4" s="159"/>
      <c r="N4" s="159"/>
      <c r="O4" s="159"/>
      <c r="P4" s="159"/>
      <c r="Q4" s="159"/>
      <c r="R4" s="159"/>
      <c r="S4" s="159"/>
      <c r="T4" s="159"/>
      <c r="U4" s="159"/>
    </row>
    <row r="5" spans="1:21" x14ac:dyDescent="0.2">
      <c r="B5" s="158" t="s">
        <v>142</v>
      </c>
      <c r="D5" s="193">
        <v>84</v>
      </c>
      <c r="E5" s="158" t="s">
        <v>51</v>
      </c>
      <c r="F5" s="162" t="s">
        <v>41</v>
      </c>
      <c r="G5" s="163">
        <f>G1/(SQRT(3)*D5)</f>
        <v>2.6118226463340211</v>
      </c>
      <c r="H5" s="164" t="s">
        <v>130</v>
      </c>
      <c r="I5" s="158" t="s">
        <v>143</v>
      </c>
      <c r="J5" s="158" t="str">
        <f>COMPLEX(0,J4)</f>
        <v>-2598,44805047992i</v>
      </c>
      <c r="L5" s="159"/>
      <c r="M5" s="159"/>
      <c r="N5" s="159"/>
      <c r="O5" s="159"/>
      <c r="P5" s="159"/>
      <c r="Q5" s="159"/>
      <c r="R5" s="159"/>
      <c r="S5" s="159"/>
      <c r="T5" s="159"/>
      <c r="U5" s="159"/>
    </row>
    <row r="6" spans="1:21" ht="17" thickBot="1" x14ac:dyDescent="0.25">
      <c r="B6" s="158" t="s">
        <v>144</v>
      </c>
      <c r="D6" s="160">
        <v>2800</v>
      </c>
      <c r="E6" s="158" t="s">
        <v>145</v>
      </c>
      <c r="F6" s="165" t="s">
        <v>146</v>
      </c>
      <c r="G6" s="166">
        <f>G1*G1/D5</f>
        <v>1719.047619047619</v>
      </c>
      <c r="H6" s="167" t="s">
        <v>147</v>
      </c>
      <c r="I6" s="158" t="s">
        <v>148</v>
      </c>
      <c r="J6" s="168">
        <f>-1/(2*PI()*50*D6*10^-6)</f>
        <v>-1.1368210220849666</v>
      </c>
      <c r="K6" s="158" t="s">
        <v>51</v>
      </c>
      <c r="L6" s="159"/>
      <c r="M6" s="159"/>
      <c r="N6" s="159"/>
      <c r="O6" s="159"/>
      <c r="P6" s="159"/>
      <c r="Q6" s="159"/>
      <c r="R6" s="159"/>
      <c r="S6" s="159"/>
      <c r="T6" s="159"/>
      <c r="U6" s="159"/>
    </row>
    <row r="7" spans="1:21" ht="17" thickBot="1" x14ac:dyDescent="0.25">
      <c r="B7" s="158" t="s">
        <v>149</v>
      </c>
      <c r="D7" s="160">
        <v>100</v>
      </c>
      <c r="I7" s="169" t="s">
        <v>150</v>
      </c>
      <c r="J7" s="197">
        <f>SQRT(10^9*((D2+((J6*C11)/D4))/(2*PI()*50))/D3)</f>
        <v>48.359107161236253</v>
      </c>
      <c r="K7" s="170" t="s">
        <v>51</v>
      </c>
      <c r="L7" s="159"/>
      <c r="M7" s="159"/>
      <c r="N7" s="159"/>
      <c r="O7" s="159"/>
      <c r="P7" s="159"/>
      <c r="Q7" s="159"/>
      <c r="R7" s="159"/>
      <c r="S7" s="159"/>
      <c r="T7" s="159"/>
      <c r="U7" s="159"/>
    </row>
    <row r="8" spans="1:21" ht="17" thickBot="1" x14ac:dyDescent="0.25">
      <c r="B8" s="158" t="s">
        <v>170</v>
      </c>
      <c r="C8" s="158" t="s">
        <v>171</v>
      </c>
      <c r="D8" s="161">
        <f>J8*1000/50</f>
        <v>1688.0512865766818</v>
      </c>
      <c r="E8" s="158" t="s">
        <v>118</v>
      </c>
      <c r="I8" s="158" t="s">
        <v>172</v>
      </c>
      <c r="J8" s="198">
        <f>(0.001)/SQRT(D3*(0.000000001)*D2/(2*PI()*50))</f>
        <v>84.402564328834089</v>
      </c>
      <c r="K8" s="158" t="s">
        <v>173</v>
      </c>
      <c r="L8" s="159"/>
      <c r="M8" s="159"/>
      <c r="N8" s="159"/>
      <c r="O8" s="159"/>
      <c r="P8" s="159"/>
      <c r="Q8" s="159"/>
      <c r="R8" s="159"/>
      <c r="S8" s="159"/>
      <c r="T8" s="159"/>
      <c r="U8" s="159"/>
    </row>
    <row r="9" spans="1:21" ht="17" thickBot="1" x14ac:dyDescent="0.25">
      <c r="A9" s="196" t="s">
        <v>151</v>
      </c>
      <c r="B9" s="196"/>
      <c r="C9" s="196"/>
      <c r="D9" s="196" t="s">
        <v>152</v>
      </c>
      <c r="E9" s="196"/>
      <c r="F9" s="196"/>
      <c r="G9" s="196"/>
      <c r="H9" s="196"/>
      <c r="I9" s="196" t="s">
        <v>153</v>
      </c>
      <c r="J9" s="196"/>
      <c r="K9" s="196"/>
      <c r="L9" s="159"/>
      <c r="M9" s="159"/>
      <c r="N9" s="159"/>
      <c r="O9" s="159"/>
      <c r="P9" s="159"/>
      <c r="Q9" s="159"/>
      <c r="R9" s="159"/>
      <c r="S9" s="159"/>
      <c r="T9" s="159"/>
      <c r="U9" s="159"/>
    </row>
    <row r="10" spans="1:21" x14ac:dyDescent="0.2">
      <c r="A10" s="171" t="s">
        <v>10</v>
      </c>
      <c r="B10" s="172" t="s">
        <v>154</v>
      </c>
      <c r="C10" s="173" t="s">
        <v>155</v>
      </c>
      <c r="D10" s="171" t="s">
        <v>164</v>
      </c>
      <c r="E10" s="174" t="s">
        <v>165</v>
      </c>
      <c r="F10" s="174" t="s">
        <v>166</v>
      </c>
      <c r="G10" s="174" t="s">
        <v>167</v>
      </c>
      <c r="H10" s="173" t="s">
        <v>160</v>
      </c>
      <c r="I10" s="171" t="s">
        <v>161</v>
      </c>
      <c r="J10" s="174" t="s">
        <v>162</v>
      </c>
      <c r="K10" s="173" t="s">
        <v>163</v>
      </c>
      <c r="L10" s="159"/>
      <c r="M10" s="159"/>
      <c r="N10" s="159"/>
      <c r="O10" s="159"/>
      <c r="P10" s="159"/>
      <c r="Q10" s="159"/>
      <c r="R10" s="159"/>
      <c r="S10" s="159"/>
      <c r="T10" s="159"/>
      <c r="U10" s="159"/>
    </row>
    <row r="11" spans="1:21" x14ac:dyDescent="0.2">
      <c r="A11" s="175">
        <v>0</v>
      </c>
      <c r="B11" s="176">
        <v>0</v>
      </c>
      <c r="C11" s="177">
        <f t="shared" ref="C11:C71" si="0">IF(MOD(A11+$D$7,$D$7)+1=$D$7,1,0)</f>
        <v>0</v>
      </c>
      <c r="D11" s="175">
        <f>D5</f>
        <v>84</v>
      </c>
      <c r="E11" s="178"/>
      <c r="F11" s="176">
        <f t="shared" ref="F11:F71" si="1">SQRT(D11^2+E11^2)</f>
        <v>84</v>
      </c>
      <c r="G11" s="176">
        <f t="shared" ref="G11:G71" si="2">F11/$D$5</f>
        <v>1</v>
      </c>
      <c r="H11" s="177">
        <f t="shared" ref="H11:H71" si="3">COS(ATAN(E11/D11))</f>
        <v>1</v>
      </c>
      <c r="I11" s="175" t="str">
        <f>COMPLEX(D11,E11)</f>
        <v>84</v>
      </c>
      <c r="J11" s="168" t="str">
        <f>IMDIV(IMPRODUCT($J$5,I11), IMSUM(I11,$J$5))</f>
        <v>83,9123087692665-2,7126322326577i</v>
      </c>
      <c r="K11" s="179" t="str">
        <f>COMPLEX(J1,J2)</f>
        <v>0,055+0,9i</v>
      </c>
      <c r="L11" s="159"/>
      <c r="M11" s="159"/>
      <c r="N11" s="159"/>
      <c r="O11" s="159"/>
      <c r="P11" s="159"/>
      <c r="Q11" s="159"/>
      <c r="R11" s="159"/>
      <c r="S11" s="159"/>
      <c r="T11" s="159"/>
      <c r="U11" s="159"/>
    </row>
    <row r="12" spans="1:21" x14ac:dyDescent="0.2">
      <c r="A12" s="175">
        <v>1</v>
      </c>
      <c r="B12" s="176">
        <f t="shared" ref="B12:B71" si="4">A12*$D$4</f>
        <v>5</v>
      </c>
      <c r="C12" s="177">
        <f t="shared" si="0"/>
        <v>0</v>
      </c>
      <c r="D12" s="180">
        <f>IMREAL(I12)</f>
        <v>83.967308769266495</v>
      </c>
      <c r="E12" s="181">
        <f>IMAGINARY(I12)</f>
        <v>-1.8126322326577</v>
      </c>
      <c r="F12" s="176">
        <f>SQRT(D12^2+E12^2)</f>
        <v>83.986871459557335</v>
      </c>
      <c r="G12" s="176">
        <f t="shared" si="2"/>
        <v>0.99984370785187304</v>
      </c>
      <c r="H12" s="177">
        <f t="shared" si="3"/>
        <v>0.99976707442543244</v>
      </c>
      <c r="I12" s="182" t="str">
        <f t="shared" ref="I12:I71" si="5">IMSUM(J11,K11)</f>
        <v>83,9673087692665-1,8126322326577i</v>
      </c>
      <c r="J12" s="168" t="str">
        <f t="shared" ref="J12:J72" si="6">IMDIV(IMPRODUCT($J$5,I12), IMSUM(I12,$J$5))</f>
        <v>83,7629378547479-4,51623148230135i</v>
      </c>
      <c r="K12" s="179" t="str">
        <f t="shared" ref="K12:K71" si="7">IMSUM($K$11, COMPLEX(0,C11*$J$6))</f>
        <v>0,055+0,9i</v>
      </c>
      <c r="L12" s="159"/>
      <c r="M12" s="159"/>
      <c r="N12" s="159"/>
      <c r="O12" s="159"/>
      <c r="P12" s="159"/>
      <c r="Q12" s="159"/>
      <c r="R12" s="159"/>
      <c r="S12" s="159"/>
      <c r="T12" s="159"/>
      <c r="U12" s="159"/>
    </row>
    <row r="13" spans="1:21" x14ac:dyDescent="0.2">
      <c r="A13" s="175">
        <v>2</v>
      </c>
      <c r="B13" s="176">
        <f t="shared" si="4"/>
        <v>10</v>
      </c>
      <c r="C13" s="177">
        <f t="shared" si="0"/>
        <v>0</v>
      </c>
      <c r="D13" s="180">
        <f t="shared" ref="D13:D72" si="8">IMREAL(I13)</f>
        <v>83.817937854747896</v>
      </c>
      <c r="E13" s="181">
        <f t="shared" ref="E13:E72" si="9">IMAGINARY(I13)</f>
        <v>-3.6162314823013499</v>
      </c>
      <c r="F13" s="176">
        <f t="shared" si="1"/>
        <v>83.895910724873644</v>
      </c>
      <c r="G13" s="176">
        <f t="shared" si="2"/>
        <v>0.99876084196278148</v>
      </c>
      <c r="H13" s="177">
        <f t="shared" si="3"/>
        <v>0.99907059987248426</v>
      </c>
      <c r="I13" s="182" t="str">
        <f t="shared" si="5"/>
        <v>83,8179378547479-3,61623148230135i</v>
      </c>
      <c r="J13" s="168" t="str">
        <f t="shared" si="6"/>
        <v>83,4984873551992-6,30086688596713i</v>
      </c>
      <c r="K13" s="179" t="str">
        <f t="shared" si="7"/>
        <v>0,055+0,9i</v>
      </c>
      <c r="L13" s="159"/>
      <c r="M13" s="159"/>
      <c r="N13" s="159"/>
      <c r="O13" s="159"/>
      <c r="P13" s="159"/>
      <c r="Q13" s="159"/>
      <c r="R13" s="159"/>
      <c r="S13" s="159"/>
      <c r="T13" s="159"/>
      <c r="U13" s="159"/>
    </row>
    <row r="14" spans="1:21" x14ac:dyDescent="0.2">
      <c r="A14" s="175">
        <v>3</v>
      </c>
      <c r="B14" s="176">
        <f t="shared" si="4"/>
        <v>15</v>
      </c>
      <c r="C14" s="177">
        <f t="shared" si="0"/>
        <v>0</v>
      </c>
      <c r="D14" s="180">
        <f t="shared" si="8"/>
        <v>83.553487355199195</v>
      </c>
      <c r="E14" s="181">
        <f t="shared" si="9"/>
        <v>-5.4008668859671296</v>
      </c>
      <c r="F14" s="176">
        <f t="shared" si="1"/>
        <v>83.727860430894609</v>
      </c>
      <c r="G14" s="176">
        <f t="shared" si="2"/>
        <v>0.99676024322493584</v>
      </c>
      <c r="H14" s="177">
        <f t="shared" si="3"/>
        <v>0.99791738287831522</v>
      </c>
      <c r="I14" s="182" t="str">
        <f t="shared" si="5"/>
        <v>83,5534873551992-5,40086688596713i</v>
      </c>
      <c r="J14" s="168" t="str">
        <f t="shared" si="6"/>
        <v>83,1216481042875-8,05690970188489i</v>
      </c>
      <c r="K14" s="179" t="str">
        <f t="shared" si="7"/>
        <v>0,055+0,9i</v>
      </c>
      <c r="L14" s="159"/>
      <c r="M14" s="159"/>
      <c r="N14" s="159"/>
      <c r="O14" s="159"/>
      <c r="P14" s="159"/>
      <c r="Q14" s="159"/>
      <c r="R14" s="159"/>
      <c r="S14" s="159"/>
      <c r="T14" s="159"/>
      <c r="U14" s="159"/>
    </row>
    <row r="15" spans="1:21" x14ac:dyDescent="0.2">
      <c r="A15" s="175">
        <v>4</v>
      </c>
      <c r="B15" s="176">
        <f t="shared" si="4"/>
        <v>20</v>
      </c>
      <c r="C15" s="177">
        <f t="shared" si="0"/>
        <v>0</v>
      </c>
      <c r="D15" s="180">
        <f t="shared" si="8"/>
        <v>83.176648104287494</v>
      </c>
      <c r="E15" s="181">
        <f t="shared" si="9"/>
        <v>-7.1569097018848904</v>
      </c>
      <c r="F15" s="176">
        <f t="shared" si="1"/>
        <v>83.48398736491572</v>
      </c>
      <c r="G15" s="176">
        <f t="shared" si="2"/>
        <v>0.9938569924394729</v>
      </c>
      <c r="H15" s="177">
        <f t="shared" si="3"/>
        <v>0.99631858431384202</v>
      </c>
      <c r="I15" s="182" t="str">
        <f t="shared" si="5"/>
        <v>83,1766481042875-7,15690970188489i</v>
      </c>
      <c r="J15" s="168" t="str">
        <f t="shared" si="6"/>
        <v>82,6361385446251-9,77517907279771i</v>
      </c>
      <c r="K15" s="179" t="str">
        <f t="shared" si="7"/>
        <v>0,055+0,9i</v>
      </c>
      <c r="L15" s="159"/>
      <c r="M15" s="159"/>
      <c r="N15" s="159"/>
      <c r="O15" s="159"/>
      <c r="P15" s="159"/>
      <c r="Q15" s="159"/>
      <c r="R15" s="159"/>
      <c r="S15" s="159"/>
      <c r="T15" s="159"/>
      <c r="U15" s="159"/>
    </row>
    <row r="16" spans="1:21" x14ac:dyDescent="0.2">
      <c r="A16" s="175">
        <v>5</v>
      </c>
      <c r="B16" s="176">
        <f t="shared" si="4"/>
        <v>25</v>
      </c>
      <c r="C16" s="177">
        <f t="shared" si="0"/>
        <v>0</v>
      </c>
      <c r="D16" s="180">
        <f t="shared" si="8"/>
        <v>82.691138544625105</v>
      </c>
      <c r="E16" s="181">
        <f t="shared" si="9"/>
        <v>-8.8751790727977102</v>
      </c>
      <c r="F16" s="176">
        <f t="shared" si="1"/>
        <v>83.166057964656531</v>
      </c>
      <c r="G16" s="176">
        <f t="shared" si="2"/>
        <v>0.99007211862686351</v>
      </c>
      <c r="H16" s="177">
        <f t="shared" si="3"/>
        <v>0.99428950425625251</v>
      </c>
      <c r="I16" s="182" t="str">
        <f t="shared" si="5"/>
        <v>82,6911385446251-8,87517907279771i</v>
      </c>
      <c r="J16" s="168" t="str">
        <f t="shared" si="6"/>
        <v>82,046619227962-11,447073296773i</v>
      </c>
      <c r="K16" s="179" t="str">
        <f t="shared" si="7"/>
        <v>0,055+0,9i</v>
      </c>
    </row>
    <row r="17" spans="1:11" x14ac:dyDescent="0.2">
      <c r="A17" s="175">
        <v>6</v>
      </c>
      <c r="B17" s="176">
        <f t="shared" si="4"/>
        <v>30</v>
      </c>
      <c r="C17" s="177">
        <f t="shared" si="0"/>
        <v>0</v>
      </c>
      <c r="D17" s="180">
        <f t="shared" si="8"/>
        <v>82.101619227962004</v>
      </c>
      <c r="E17" s="181">
        <f t="shared" si="9"/>
        <v>-10.547073296773</v>
      </c>
      <c r="F17" s="176">
        <f t="shared" si="1"/>
        <v>82.776304791774578</v>
      </c>
      <c r="G17" s="176">
        <f t="shared" si="2"/>
        <v>0.98543219990207831</v>
      </c>
      <c r="H17" s="177">
        <f t="shared" si="3"/>
        <v>0.99184929110438358</v>
      </c>
      <c r="I17" s="182" t="str">
        <f t="shared" si="5"/>
        <v>82,101619227962-10,547073296773i</v>
      </c>
      <c r="J17" s="168" t="str">
        <f t="shared" si="6"/>
        <v>81,3585885505452-13,0646828710928i</v>
      </c>
      <c r="K17" s="179" t="str">
        <f t="shared" si="7"/>
        <v>0,055+0,9i</v>
      </c>
    </row>
    <row r="18" spans="1:11" x14ac:dyDescent="0.2">
      <c r="A18" s="175">
        <v>7</v>
      </c>
      <c r="B18" s="176">
        <f t="shared" si="4"/>
        <v>35</v>
      </c>
      <c r="C18" s="177">
        <f t="shared" si="0"/>
        <v>0</v>
      </c>
      <c r="D18" s="180">
        <f t="shared" si="8"/>
        <v>81.413588550545199</v>
      </c>
      <c r="E18" s="181">
        <f t="shared" si="9"/>
        <v>-12.164682871092801</v>
      </c>
      <c r="F18" s="176">
        <f t="shared" si="1"/>
        <v>82.317385223485587</v>
      </c>
      <c r="G18" s="176">
        <f t="shared" si="2"/>
        <v>0.97996887170816172</v>
      </c>
      <c r="H18" s="177">
        <f t="shared" si="3"/>
        <v>0.98902058574277296</v>
      </c>
      <c r="I18" s="182" t="str">
        <f t="shared" si="5"/>
        <v>81,4135885505452-12,1646828710928i</v>
      </c>
      <c r="J18" s="168" t="str">
        <f t="shared" si="6"/>
        <v>80,5782639643915-14,6208825353491i</v>
      </c>
      <c r="K18" s="179" t="str">
        <f t="shared" si="7"/>
        <v>0,055+0,9i</v>
      </c>
    </row>
    <row r="19" spans="1:11" x14ac:dyDescent="0.2">
      <c r="A19" s="175">
        <v>8</v>
      </c>
      <c r="B19" s="176">
        <f t="shared" si="4"/>
        <v>40</v>
      </c>
      <c r="C19" s="177">
        <f t="shared" si="0"/>
        <v>0</v>
      </c>
      <c r="D19" s="180">
        <f t="shared" si="8"/>
        <v>80.633263964391503</v>
      </c>
      <c r="E19" s="181">
        <f t="shared" si="9"/>
        <v>-13.7208825353491</v>
      </c>
      <c r="F19" s="176">
        <f t="shared" si="1"/>
        <v>81.792333840648439</v>
      </c>
      <c r="G19" s="176">
        <f t="shared" si="2"/>
        <v>0.97371826000771955</v>
      </c>
      <c r="H19" s="177">
        <f t="shared" si="3"/>
        <v>0.98582911353874436</v>
      </c>
      <c r="I19" s="182" t="str">
        <f t="shared" si="5"/>
        <v>80,6332639643915-13,7208825353491i</v>
      </c>
      <c r="J19" s="168" t="str">
        <f t="shared" si="6"/>
        <v>79,712453268238-16,1094005937414i</v>
      </c>
      <c r="K19" s="179" t="str">
        <f t="shared" si="7"/>
        <v>0,055+0,9i</v>
      </c>
    </row>
    <row r="20" spans="1:11" x14ac:dyDescent="0.2">
      <c r="A20" s="175">
        <v>9</v>
      </c>
      <c r="B20" s="176">
        <f t="shared" si="4"/>
        <v>45</v>
      </c>
      <c r="C20" s="177">
        <f t="shared" si="0"/>
        <v>0</v>
      </c>
      <c r="D20" s="180">
        <f t="shared" si="8"/>
        <v>79.767453268238</v>
      </c>
      <c r="E20" s="181">
        <f t="shared" si="9"/>
        <v>-15.2094005937414</v>
      </c>
      <c r="F20" s="176">
        <f t="shared" si="1"/>
        <v>81.204510141502823</v>
      </c>
      <c r="G20" s="176">
        <f t="shared" si="2"/>
        <v>0.96672035882741458</v>
      </c>
      <c r="H20" s="177">
        <f t="shared" si="3"/>
        <v>0.982303238197476</v>
      </c>
      <c r="I20" s="182" t="str">
        <f t="shared" si="5"/>
        <v>79,767453268238-15,2094005937414i</v>
      </c>
      <c r="J20" s="168" t="str">
        <f t="shared" si="6"/>
        <v>78,7684206714926-17,5248648662379i</v>
      </c>
      <c r="K20" s="179" t="str">
        <f t="shared" si="7"/>
        <v>0,055+0,9i</v>
      </c>
    </row>
    <row r="21" spans="1:11" x14ac:dyDescent="0.2">
      <c r="A21" s="175">
        <v>10</v>
      </c>
      <c r="B21" s="176">
        <f t="shared" si="4"/>
        <v>50</v>
      </c>
      <c r="C21" s="177">
        <f t="shared" si="0"/>
        <v>0</v>
      </c>
      <c r="D21" s="180">
        <f t="shared" si="8"/>
        <v>78.823420671492599</v>
      </c>
      <c r="E21" s="181">
        <f t="shared" si="9"/>
        <v>-16.6248648662379</v>
      </c>
      <c r="F21" s="176">
        <f t="shared" si="1"/>
        <v>80.557543272965802</v>
      </c>
      <c r="G21" s="176">
        <f t="shared" si="2"/>
        <v>0.95901837229721187</v>
      </c>
      <c r="H21" s="177">
        <f t="shared" si="3"/>
        <v>0.97847349197830913</v>
      </c>
      <c r="I21" s="182" t="str">
        <f t="shared" si="5"/>
        <v>78,8234206714926-16,6248648662379i</v>
      </c>
      <c r="J21" s="168" t="str">
        <f t="shared" si="6"/>
        <v>77,7537521584799-18,862825631695i</v>
      </c>
      <c r="K21" s="179" t="str">
        <f t="shared" si="7"/>
        <v>0,055+0,9i</v>
      </c>
    </row>
    <row r="22" spans="1:11" x14ac:dyDescent="0.2">
      <c r="A22" s="175">
        <v>11</v>
      </c>
      <c r="B22" s="176">
        <f t="shared" si="4"/>
        <v>55</v>
      </c>
      <c r="C22" s="177">
        <f t="shared" si="0"/>
        <v>0</v>
      </c>
      <c r="D22" s="180">
        <f t="shared" si="8"/>
        <v>77.808752158479905</v>
      </c>
      <c r="E22" s="181">
        <f t="shared" si="9"/>
        <v>-17.962825631695001</v>
      </c>
      <c r="F22" s="176">
        <f t="shared" si="1"/>
        <v>79.855275449618418</v>
      </c>
      <c r="G22" s="176">
        <f t="shared" si="2"/>
        <v>0.95065804106688589</v>
      </c>
      <c r="H22" s="177">
        <f t="shared" si="3"/>
        <v>0.97437209652567425</v>
      </c>
      <c r="I22" s="182" t="str">
        <f t="shared" si="5"/>
        <v>77,8087521584799-17,962825631695i</v>
      </c>
      <c r="J22" s="168" t="str">
        <f t="shared" si="6"/>
        <v>76,6762242948993-20,1197568229925i</v>
      </c>
      <c r="K22" s="179" t="str">
        <f t="shared" si="7"/>
        <v>0,055+0,9i</v>
      </c>
    </row>
    <row r="23" spans="1:11" x14ac:dyDescent="0.2">
      <c r="A23" s="175">
        <v>12</v>
      </c>
      <c r="B23" s="176">
        <f t="shared" si="4"/>
        <v>60</v>
      </c>
      <c r="C23" s="177">
        <f t="shared" si="0"/>
        <v>0</v>
      </c>
      <c r="D23" s="180">
        <f t="shared" si="8"/>
        <v>76.731224294899306</v>
      </c>
      <c r="E23" s="181">
        <f t="shared" si="9"/>
        <v>-19.219756822992501</v>
      </c>
      <c r="F23" s="176">
        <f t="shared" si="1"/>
        <v>79.101705633501425</v>
      </c>
      <c r="G23" s="176">
        <f t="shared" si="2"/>
        <v>0.94168697182739791</v>
      </c>
      <c r="H23" s="177">
        <f t="shared" si="3"/>
        <v>0.97003248767371497</v>
      </c>
      <c r="I23" s="182" t="str">
        <f t="shared" si="5"/>
        <v>76,7312242948993-19,2197568229925i</v>
      </c>
      <c r="J23" s="168" t="str">
        <f t="shared" si="6"/>
        <v>75,5436800629389-21,2930374705581i</v>
      </c>
      <c r="K23" s="179" t="str">
        <f t="shared" si="7"/>
        <v>0,055+0,9i</v>
      </c>
    </row>
    <row r="24" spans="1:11" x14ac:dyDescent="0.2">
      <c r="A24" s="175">
        <v>13</v>
      </c>
      <c r="B24" s="176">
        <f t="shared" si="4"/>
        <v>65</v>
      </c>
      <c r="C24" s="177">
        <f t="shared" si="0"/>
        <v>0</v>
      </c>
      <c r="D24" s="180">
        <f t="shared" si="8"/>
        <v>75.598680062938897</v>
      </c>
      <c r="E24" s="181">
        <f t="shared" si="9"/>
        <v>-20.393037470558099</v>
      </c>
      <c r="F24" s="176">
        <f t="shared" si="1"/>
        <v>78.30093488927308</v>
      </c>
      <c r="G24" s="176">
        <f t="shared" si="2"/>
        <v>0.93215398677706052</v>
      </c>
      <c r="H24" s="177">
        <f t="shared" si="3"/>
        <v>0.96548885616556823</v>
      </c>
      <c r="I24" s="182" t="str">
        <f t="shared" si="5"/>
        <v>75,5986800629389-20,3930374705581i</v>
      </c>
      <c r="J24" s="168" t="str">
        <f t="shared" si="6"/>
        <v>74,3639146417762-22,3809159401257i</v>
      </c>
      <c r="K24" s="179" t="str">
        <f t="shared" si="7"/>
        <v>0,055+0,9i</v>
      </c>
    </row>
    <row r="25" spans="1:11" x14ac:dyDescent="0.2">
      <c r="A25" s="175">
        <v>14</v>
      </c>
      <c r="B25" s="176">
        <f t="shared" si="4"/>
        <v>70</v>
      </c>
      <c r="C25" s="177">
        <f t="shared" si="0"/>
        <v>0</v>
      </c>
      <c r="D25" s="180">
        <f t="shared" si="8"/>
        <v>74.418914641776198</v>
      </c>
      <c r="E25" s="181">
        <f t="shared" si="9"/>
        <v>-21.480915940125701</v>
      </c>
      <c r="F25" s="176">
        <f t="shared" si="1"/>
        <v>77.457114625363616</v>
      </c>
      <c r="G25" s="176">
        <f t="shared" si="2"/>
        <v>0.92210850744480499</v>
      </c>
      <c r="H25" s="177">
        <f t="shared" si="3"/>
        <v>0.96077571442878729</v>
      </c>
      <c r="I25" s="182" t="str">
        <f t="shared" si="5"/>
        <v>74,4189146417762-21,4809159401257i</v>
      </c>
      <c r="J25" s="168" t="str">
        <f t="shared" si="6"/>
        <v>73,1445733228488-23,3824598647317i</v>
      </c>
      <c r="K25" s="179" t="str">
        <f t="shared" si="7"/>
        <v>0,055+0,9i</v>
      </c>
    </row>
    <row r="26" spans="1:11" x14ac:dyDescent="0.2">
      <c r="A26" s="175">
        <v>15</v>
      </c>
      <c r="B26" s="176">
        <f t="shared" si="4"/>
        <v>75</v>
      </c>
      <c r="C26" s="177">
        <f t="shared" si="0"/>
        <v>0</v>
      </c>
      <c r="D26" s="180">
        <f t="shared" si="8"/>
        <v>73.199573322848806</v>
      </c>
      <c r="E26" s="181">
        <f t="shared" si="9"/>
        <v>-22.482459864731702</v>
      </c>
      <c r="F26" s="176">
        <f t="shared" si="1"/>
        <v>76.5743986996724</v>
      </c>
      <c r="G26" s="176">
        <f t="shared" si="2"/>
        <v>0.91159998451990953</v>
      </c>
      <c r="H26" s="177">
        <f t="shared" si="3"/>
        <v>0.95592749751702544</v>
      </c>
      <c r="I26" s="182" t="str">
        <f t="shared" si="5"/>
        <v>73,1995733228488-22,4824598647317i</v>
      </c>
      <c r="J26" s="168" t="str">
        <f t="shared" si="6"/>
        <v>71,893063016409-24,2974948369786i</v>
      </c>
      <c r="K26" s="179" t="str">
        <f t="shared" si="7"/>
        <v>0,055+0,9i</v>
      </c>
    </row>
    <row r="27" spans="1:11" x14ac:dyDescent="0.2">
      <c r="A27" s="175">
        <v>16</v>
      </c>
      <c r="B27" s="176">
        <f t="shared" si="4"/>
        <v>80</v>
      </c>
      <c r="C27" s="177">
        <f t="shared" si="0"/>
        <v>0</v>
      </c>
      <c r="D27" s="180">
        <f t="shared" si="8"/>
        <v>71.948063016408994</v>
      </c>
      <c r="E27" s="181">
        <f t="shared" si="9"/>
        <v>-23.397494836978598</v>
      </c>
      <c r="F27" s="176">
        <f t="shared" si="1"/>
        <v>75.6569001245729</v>
      </c>
      <c r="G27" s="176">
        <f t="shared" si="2"/>
        <v>0.90067738243539164</v>
      </c>
      <c r="H27" s="177">
        <f t="shared" si="3"/>
        <v>0.95097820420798207</v>
      </c>
      <c r="I27" s="182" t="str">
        <f t="shared" si="5"/>
        <v>71,948063016409-23,3974948369786i</v>
      </c>
      <c r="J27" s="168" t="str">
        <f t="shared" si="6"/>
        <v>70,6164781115075-25,1265349250244i</v>
      </c>
      <c r="K27" s="179" t="str">
        <f t="shared" si="7"/>
        <v>0,055+0,9i</v>
      </c>
    </row>
    <row r="28" spans="1:11" x14ac:dyDescent="0.2">
      <c r="A28" s="175">
        <v>17</v>
      </c>
      <c r="B28" s="176">
        <f t="shared" si="4"/>
        <v>85</v>
      </c>
      <c r="C28" s="177">
        <f t="shared" si="0"/>
        <v>0</v>
      </c>
      <c r="D28" s="180">
        <f t="shared" si="8"/>
        <v>70.671478111507497</v>
      </c>
      <c r="E28" s="181">
        <f t="shared" si="9"/>
        <v>-24.226534925024399</v>
      </c>
      <c r="F28" s="176">
        <f t="shared" si="1"/>
        <v>74.70865286523852</v>
      </c>
      <c r="G28" s="176">
        <f t="shared" si="2"/>
        <v>0.88938872458617291</v>
      </c>
      <c r="H28" s="177">
        <f t="shared" si="3"/>
        <v>0.94596108216522956</v>
      </c>
      <c r="I28" s="182" t="str">
        <f t="shared" si="5"/>
        <v>70,6714781115075-24,2265349250244i</v>
      </c>
      <c r="J28" s="168" t="str">
        <f t="shared" si="6"/>
        <v>69,3215408292539-25,8707079325695i</v>
      </c>
      <c r="K28" s="179" t="str">
        <f t="shared" si="7"/>
        <v>0,055+0,9i</v>
      </c>
    </row>
    <row r="29" spans="1:11" x14ac:dyDescent="0.2">
      <c r="A29" s="175">
        <v>18</v>
      </c>
      <c r="B29" s="176">
        <f t="shared" si="4"/>
        <v>90</v>
      </c>
      <c r="C29" s="177">
        <f t="shared" si="0"/>
        <v>0</v>
      </c>
      <c r="D29" s="180">
        <f t="shared" si="8"/>
        <v>69.376540829253898</v>
      </c>
      <c r="E29" s="181">
        <f t="shared" si="9"/>
        <v>-24.9707079325695</v>
      </c>
      <c r="F29" s="176">
        <f t="shared" si="1"/>
        <v>73.733578999576721</v>
      </c>
      <c r="G29" s="176">
        <f t="shared" si="2"/>
        <v>0.87778070237591332</v>
      </c>
      <c r="H29" s="177">
        <f t="shared" si="3"/>
        <v>0.94090835912972781</v>
      </c>
      <c r="I29" s="182" t="str">
        <f t="shared" si="5"/>
        <v>69,3765408292539-24,9707079325695i</v>
      </c>
      <c r="J29" s="168" t="str">
        <f t="shared" si="6"/>
        <v>68,0145556814469-26,5316780717942i</v>
      </c>
      <c r="K29" s="179" t="str">
        <f t="shared" si="7"/>
        <v>0,055+0,9i</v>
      </c>
    </row>
    <row r="30" spans="1:11" x14ac:dyDescent="0.2">
      <c r="A30" s="175">
        <v>19</v>
      </c>
      <c r="B30" s="176">
        <f t="shared" si="4"/>
        <v>95</v>
      </c>
      <c r="C30" s="177">
        <f t="shared" si="0"/>
        <v>0</v>
      </c>
      <c r="D30" s="180">
        <f t="shared" si="8"/>
        <v>68.0695556814469</v>
      </c>
      <c r="E30" s="181">
        <f t="shared" si="9"/>
        <v>-25.631678071794202</v>
      </c>
      <c r="F30" s="176">
        <f t="shared" si="1"/>
        <v>72.735461306337328</v>
      </c>
      <c r="G30" s="176">
        <f t="shared" si="2"/>
        <v>0.86589834888496819</v>
      </c>
      <c r="H30" s="177">
        <f t="shared" si="3"/>
        <v>0.9358510203813899</v>
      </c>
      <c r="I30" s="182" t="str">
        <f t="shared" si="5"/>
        <v>68,0695556814469-25,6316780717942i</v>
      </c>
      <c r="J30" s="168" t="str">
        <f t="shared" si="6"/>
        <v>66,7013772252293-27,1115683922111i</v>
      </c>
      <c r="K30" s="179" t="str">
        <f t="shared" si="7"/>
        <v>0,055+0,9i</v>
      </c>
    </row>
    <row r="31" spans="1:11" x14ac:dyDescent="0.2">
      <c r="A31" s="175">
        <v>20</v>
      </c>
      <c r="B31" s="176">
        <f t="shared" si="4"/>
        <v>100</v>
      </c>
      <c r="C31" s="177">
        <f t="shared" si="0"/>
        <v>0</v>
      </c>
      <c r="D31" s="180">
        <f t="shared" si="8"/>
        <v>66.756377225229301</v>
      </c>
      <c r="E31" s="181">
        <f t="shared" si="9"/>
        <v>-26.211568392211099</v>
      </c>
      <c r="F31" s="176">
        <f t="shared" si="1"/>
        <v>71.71792117606779</v>
      </c>
      <c r="G31" s="176">
        <f t="shared" si="2"/>
        <v>0.85378477590556889</v>
      </c>
      <c r="H31" s="177">
        <f t="shared" si="3"/>
        <v>0.93081863125036934</v>
      </c>
      <c r="I31" s="182" t="str">
        <f t="shared" si="5"/>
        <v>66,7563772252293-26,2115683922111i</v>
      </c>
      <c r="J31" s="168" t="str">
        <f t="shared" si="6"/>
        <v>65,3873899917204-27,6128849393302i</v>
      </c>
      <c r="K31" s="179" t="str">
        <f t="shared" si="7"/>
        <v>0,055+0,9i</v>
      </c>
    </row>
    <row r="32" spans="1:11" x14ac:dyDescent="0.2">
      <c r="A32" s="175">
        <v>21</v>
      </c>
      <c r="B32" s="176">
        <f t="shared" si="4"/>
        <v>105</v>
      </c>
      <c r="C32" s="177">
        <f t="shared" si="0"/>
        <v>0</v>
      </c>
      <c r="D32" s="180">
        <f t="shared" si="8"/>
        <v>65.442389991720404</v>
      </c>
      <c r="E32" s="181">
        <f t="shared" si="9"/>
        <v>-26.712884939330198</v>
      </c>
      <c r="F32" s="176">
        <f t="shared" si="1"/>
        <v>70.684401600426114</v>
      </c>
      <c r="G32" s="176">
        <f t="shared" si="2"/>
        <v>0.8414809714336442</v>
      </c>
      <c r="H32" s="177">
        <f t="shared" si="3"/>
        <v>0.92583920228484884</v>
      </c>
      <c r="I32" s="182" t="str">
        <f t="shared" si="5"/>
        <v>65,4423899917204-26,7128849393302i</v>
      </c>
      <c r="J32" s="168" t="str">
        <f t="shared" si="6"/>
        <v>64,0774992576355-28,0384442326216i</v>
      </c>
      <c r="K32" s="179" t="str">
        <f t="shared" si="7"/>
        <v>0,055+0,9i</v>
      </c>
    </row>
    <row r="33" spans="1:11" x14ac:dyDescent="0.2">
      <c r="A33" s="175">
        <v>22</v>
      </c>
      <c r="B33" s="176">
        <f t="shared" si="4"/>
        <v>110</v>
      </c>
      <c r="C33" s="177">
        <f t="shared" si="0"/>
        <v>0</v>
      </c>
      <c r="D33" s="180">
        <f t="shared" si="8"/>
        <v>64.132499257635502</v>
      </c>
      <c r="E33" s="181">
        <f t="shared" si="9"/>
        <v>-27.138444232621602</v>
      </c>
      <c r="F33" s="176">
        <f t="shared" si="1"/>
        <v>69.638154889383244</v>
      </c>
      <c r="G33" s="176">
        <f t="shared" si="2"/>
        <v>0.82902565344503865</v>
      </c>
      <c r="H33" s="177">
        <f t="shared" si="3"/>
        <v>0.92093909379860506</v>
      </c>
      <c r="I33" s="182" t="str">
        <f t="shared" si="5"/>
        <v>64,1324992576355-27,1384442326216i</v>
      </c>
      <c r="J33" s="168" t="str">
        <f t="shared" si="6"/>
        <v>62,7761312132932-28,39130527517i</v>
      </c>
      <c r="K33" s="179" t="str">
        <f t="shared" si="7"/>
        <v>0,055+0,9i</v>
      </c>
    </row>
    <row r="34" spans="1:11" x14ac:dyDescent="0.2">
      <c r="A34" s="175">
        <v>23</v>
      </c>
      <c r="B34" s="176">
        <f t="shared" si="4"/>
        <v>115</v>
      </c>
      <c r="C34" s="177">
        <f t="shared" si="0"/>
        <v>0</v>
      </c>
      <c r="D34" s="180">
        <f t="shared" si="8"/>
        <v>62.831131213293197</v>
      </c>
      <c r="E34" s="181">
        <f t="shared" si="9"/>
        <v>-27.491305275169999</v>
      </c>
      <c r="F34" s="176">
        <f t="shared" si="1"/>
        <v>68.582234691461139</v>
      </c>
      <c r="G34" s="176">
        <f t="shared" si="2"/>
        <v>0.81645517489834685</v>
      </c>
      <c r="H34" s="177">
        <f t="shared" si="3"/>
        <v>0.91614295591210892</v>
      </c>
      <c r="I34" s="182" t="str">
        <f t="shared" si="5"/>
        <v>62,8311312132932-27,49130527517i</v>
      </c>
      <c r="J34" s="168" t="str">
        <f t="shared" si="6"/>
        <v>61,4872410444605-28,674706954826i</v>
      </c>
      <c r="K34" s="179" t="str">
        <f t="shared" si="7"/>
        <v>0,055+0,9i</v>
      </c>
    </row>
    <row r="35" spans="1:11" x14ac:dyDescent="0.2">
      <c r="A35" s="175">
        <v>24</v>
      </c>
      <c r="B35" s="176">
        <f t="shared" si="4"/>
        <v>120</v>
      </c>
      <c r="C35" s="177">
        <f t="shared" si="0"/>
        <v>0</v>
      </c>
      <c r="D35" s="180">
        <f t="shared" si="8"/>
        <v>61.542241044460503</v>
      </c>
      <c r="E35" s="181">
        <f t="shared" si="9"/>
        <v>-27.774706954826001</v>
      </c>
      <c r="F35" s="176">
        <f t="shared" si="1"/>
        <v>67.519491846436011</v>
      </c>
      <c r="G35" s="176">
        <f t="shared" si="2"/>
        <v>0.80380347436233346</v>
      </c>
      <c r="H35" s="177">
        <f t="shared" si="3"/>
        <v>0.91147369983811555</v>
      </c>
      <c r="I35" s="182" t="str">
        <f t="shared" si="5"/>
        <v>61,5422410444605-27,774706954826i</v>
      </c>
      <c r="J35" s="168" t="str">
        <f t="shared" si="6"/>
        <v>60,2143274738735-28,8920113803526i</v>
      </c>
      <c r="K35" s="179" t="str">
        <f t="shared" si="7"/>
        <v>0,055+0,9i</v>
      </c>
    </row>
    <row r="36" spans="1:11" x14ac:dyDescent="0.2">
      <c r="A36" s="175">
        <v>25</v>
      </c>
      <c r="B36" s="176">
        <f t="shared" si="4"/>
        <v>125</v>
      </c>
      <c r="C36" s="177">
        <f t="shared" si="0"/>
        <v>0</v>
      </c>
      <c r="D36" s="180">
        <f t="shared" si="8"/>
        <v>60.269327473873503</v>
      </c>
      <c r="E36" s="181">
        <f t="shared" si="9"/>
        <v>-27.992011380352601</v>
      </c>
      <c r="F36" s="176">
        <f t="shared" si="1"/>
        <v>66.452573578987838</v>
      </c>
      <c r="G36" s="176">
        <f t="shared" si="2"/>
        <v>0.79110206641652192</v>
      </c>
      <c r="H36" s="177">
        <f t="shared" si="3"/>
        <v>0.90695249601184047</v>
      </c>
      <c r="I36" s="182" t="str">
        <f t="shared" si="5"/>
        <v>60,2693274738735-27,9920113803526i</v>
      </c>
      <c r="J36" s="168" t="str">
        <f t="shared" si="6"/>
        <v>58,9604523856406-29,0466534229958i</v>
      </c>
      <c r="K36" s="179" t="str">
        <f t="shared" si="7"/>
        <v>0,055+0,9i</v>
      </c>
    </row>
    <row r="37" spans="1:11" x14ac:dyDescent="0.2">
      <c r="A37" s="175">
        <v>26</v>
      </c>
      <c r="B37" s="176">
        <f t="shared" si="4"/>
        <v>130</v>
      </c>
      <c r="C37" s="177">
        <f t="shared" si="0"/>
        <v>0</v>
      </c>
      <c r="D37" s="180">
        <f t="shared" si="8"/>
        <v>59.0154523856406</v>
      </c>
      <c r="E37" s="181">
        <f t="shared" si="9"/>
        <v>-28.146653422995801</v>
      </c>
      <c r="F37" s="176">
        <f t="shared" si="1"/>
        <v>65.383925541344297</v>
      </c>
      <c r="G37" s="176">
        <f t="shared" si="2"/>
        <v>0.77838006596838449</v>
      </c>
      <c r="H37" s="177">
        <f t="shared" si="3"/>
        <v>0.90259879468881532</v>
      </c>
      <c r="I37" s="182" t="str">
        <f t="shared" si="5"/>
        <v>59,0154523856406-28,1466534229958i</v>
      </c>
      <c r="J37" s="168" t="str">
        <f t="shared" si="6"/>
        <v>57,7282642676189-29,1420965069219i</v>
      </c>
      <c r="K37" s="179" t="str">
        <f t="shared" si="7"/>
        <v>0,055+0,9i</v>
      </c>
    </row>
    <row r="38" spans="1:11" x14ac:dyDescent="0.2">
      <c r="A38" s="175">
        <v>27</v>
      </c>
      <c r="B38" s="176">
        <f t="shared" si="4"/>
        <v>135</v>
      </c>
      <c r="C38" s="177">
        <f t="shared" si="0"/>
        <v>0</v>
      </c>
      <c r="D38" s="180">
        <f t="shared" si="8"/>
        <v>57.783264267618897</v>
      </c>
      <c r="E38" s="181">
        <f t="shared" si="9"/>
        <v>-28.2420965069219</v>
      </c>
      <c r="F38" s="176">
        <f t="shared" si="1"/>
        <v>64.315796228669768</v>
      </c>
      <c r="G38" s="176">
        <f t="shared" si="2"/>
        <v>0.76566424081749729</v>
      </c>
      <c r="H38" s="177">
        <f t="shared" si="3"/>
        <v>0.89843036479211158</v>
      </c>
      <c r="I38" s="182" t="str">
        <f t="shared" si="5"/>
        <v>57,7832642676189-28,2420965069219i</v>
      </c>
      <c r="J38" s="168" t="str">
        <f t="shared" si="6"/>
        <v>56,52002434046-29,1817945107395i</v>
      </c>
      <c r="K38" s="179" t="str">
        <f t="shared" si="7"/>
        <v>0,055+0,9i</v>
      </c>
    </row>
    <row r="39" spans="1:11" x14ac:dyDescent="0.2">
      <c r="A39" s="175">
        <v>28</v>
      </c>
      <c r="B39" s="176">
        <f t="shared" si="4"/>
        <v>140</v>
      </c>
      <c r="C39" s="177">
        <f t="shared" si="0"/>
        <v>0</v>
      </c>
      <c r="D39" s="180">
        <f t="shared" si="8"/>
        <v>56.575024340459997</v>
      </c>
      <c r="E39" s="181">
        <f t="shared" si="9"/>
        <v>-28.281794510739498</v>
      </c>
      <c r="F39" s="176">
        <f t="shared" si="1"/>
        <v>63.250243318672979</v>
      </c>
      <c r="G39" s="176">
        <f t="shared" si="2"/>
        <v>0.7529790871270593</v>
      </c>
      <c r="H39" s="177">
        <f t="shared" si="3"/>
        <v>0.8944633470486224</v>
      </c>
      <c r="I39" s="182" t="str">
        <f t="shared" si="5"/>
        <v>56,57502434046-28,2817945107395i</v>
      </c>
      <c r="J39" s="168" t="str">
        <f t="shared" si="6"/>
        <v>55,3376343865695-29,1691595041594i</v>
      </c>
      <c r="K39" s="179" t="str">
        <f t="shared" si="7"/>
        <v>0,055+0,9i</v>
      </c>
    </row>
    <row r="40" spans="1:11" x14ac:dyDescent="0.2">
      <c r="A40" s="175">
        <v>29</v>
      </c>
      <c r="B40" s="176">
        <f t="shared" si="4"/>
        <v>145</v>
      </c>
      <c r="C40" s="177">
        <f t="shared" si="0"/>
        <v>0</v>
      </c>
      <c r="D40" s="180">
        <f t="shared" si="8"/>
        <v>55.392634386569497</v>
      </c>
      <c r="E40" s="181">
        <f t="shared" si="9"/>
        <v>-28.269159504159401</v>
      </c>
      <c r="F40" s="176">
        <f t="shared" si="1"/>
        <v>62.189141522903881</v>
      </c>
      <c r="G40" s="176">
        <f t="shared" si="2"/>
        <v>0.74034692289171289</v>
      </c>
      <c r="H40" s="177">
        <f t="shared" si="3"/>
        <v>0.89071231777928195</v>
      </c>
      <c r="I40" s="182" t="str">
        <f t="shared" si="5"/>
        <v>55,3926343865695-28,2691595041594i</v>
      </c>
      <c r="J40" s="168" t="str">
        <f t="shared" si="6"/>
        <v>54,1826654390836-29,1075349445437i</v>
      </c>
      <c r="K40" s="179" t="str">
        <f t="shared" si="7"/>
        <v>0,055+0,9i</v>
      </c>
    </row>
    <row r="41" spans="1:11" x14ac:dyDescent="0.2">
      <c r="A41" s="175">
        <v>30</v>
      </c>
      <c r="B41" s="176">
        <f t="shared" si="4"/>
        <v>150</v>
      </c>
      <c r="C41" s="177">
        <f t="shared" si="0"/>
        <v>0</v>
      </c>
      <c r="D41" s="180">
        <f t="shared" si="8"/>
        <v>54.237665439083599</v>
      </c>
      <c r="E41" s="181">
        <f t="shared" si="9"/>
        <v>-28.207534944543699</v>
      </c>
      <c r="F41" s="176">
        <f t="shared" si="1"/>
        <v>61.13419157827817</v>
      </c>
      <c r="G41" s="176">
        <f t="shared" si="2"/>
        <v>0.72778799497950197</v>
      </c>
      <c r="H41" s="177">
        <f t="shared" si="3"/>
        <v>0.88719036007266017</v>
      </c>
      <c r="I41" s="182" t="str">
        <f t="shared" si="5"/>
        <v>54,2376654390836-28,2075349445437i</v>
      </c>
      <c r="J41" s="168" t="str">
        <f t="shared" si="6"/>
        <v>53,0563866335714-29,0001738925443i</v>
      </c>
      <c r="K41" s="179" t="str">
        <f t="shared" si="7"/>
        <v>0,055+0,9i</v>
      </c>
    </row>
    <row r="42" spans="1:11" x14ac:dyDescent="0.2">
      <c r="A42" s="175">
        <v>31</v>
      </c>
      <c r="B42" s="176">
        <f t="shared" si="4"/>
        <v>155</v>
      </c>
      <c r="C42" s="177">
        <f t="shared" si="0"/>
        <v>0</v>
      </c>
      <c r="D42" s="180">
        <f t="shared" si="8"/>
        <v>53.111386633571399</v>
      </c>
      <c r="E42" s="181">
        <f t="shared" si="9"/>
        <v>-28.100173892544301</v>
      </c>
      <c r="F42" s="176">
        <f t="shared" si="1"/>
        <v>60.086930050818331</v>
      </c>
      <c r="G42" s="176">
        <f t="shared" si="2"/>
        <v>0.71532059584307539</v>
      </c>
      <c r="H42" s="177">
        <f t="shared" si="3"/>
        <v>0.88390913945266658</v>
      </c>
      <c r="I42" s="182" t="str">
        <f t="shared" si="5"/>
        <v>53,1113866335714-28,1001738925443i</v>
      </c>
      <c r="J42" s="168" t="str">
        <f t="shared" si="6"/>
        <v>51,9597936588687-28,8502217688198i</v>
      </c>
      <c r="K42" s="179" t="str">
        <f t="shared" si="7"/>
        <v>0,055+0,9i</v>
      </c>
    </row>
    <row r="43" spans="1:11" x14ac:dyDescent="0.2">
      <c r="A43" s="175">
        <v>32</v>
      </c>
      <c r="B43" s="176">
        <f t="shared" si="4"/>
        <v>160</v>
      </c>
      <c r="C43" s="177">
        <f t="shared" si="0"/>
        <v>0</v>
      </c>
      <c r="D43" s="180">
        <f t="shared" si="8"/>
        <v>52.014793658868697</v>
      </c>
      <c r="E43" s="181">
        <f t="shared" si="9"/>
        <v>-27.950221768819802</v>
      </c>
      <c r="F43" s="176">
        <f t="shared" si="1"/>
        <v>59.04873966733664</v>
      </c>
      <c r="G43" s="176">
        <f t="shared" si="2"/>
        <v>0.70296118651591244</v>
      </c>
      <c r="H43" s="177">
        <f t="shared" si="3"/>
        <v>0.88087898153127164</v>
      </c>
      <c r="I43" s="182" t="str">
        <f t="shared" si="5"/>
        <v>52,0147936588687-27,9502217688198i</v>
      </c>
      <c r="J43" s="168" t="str">
        <f t="shared" si="6"/>
        <v>50,8936363652085-28,6607031595808i</v>
      </c>
      <c r="K43" s="179" t="str">
        <f t="shared" si="7"/>
        <v>0,055+0,9i</v>
      </c>
    </row>
    <row r="44" spans="1:11" x14ac:dyDescent="0.2">
      <c r="A44" s="175">
        <v>33</v>
      </c>
      <c r="B44" s="176">
        <f t="shared" si="4"/>
        <v>165</v>
      </c>
      <c r="C44" s="177">
        <f t="shared" si="0"/>
        <v>0</v>
      </c>
      <c r="D44" s="180">
        <f t="shared" si="8"/>
        <v>50.9486363652085</v>
      </c>
      <c r="E44" s="181">
        <f t="shared" si="9"/>
        <v>-27.7607031595808</v>
      </c>
      <c r="F44" s="176">
        <f t="shared" si="1"/>
        <v>58.020859933205102</v>
      </c>
      <c r="G44" s="176">
        <f t="shared" si="2"/>
        <v>0.6907245230143465</v>
      </c>
      <c r="H44" s="177">
        <f t="shared" si="3"/>
        <v>0.87810894950301832</v>
      </c>
      <c r="I44" s="182" t="str">
        <f t="shared" si="5"/>
        <v>50,9486363652085-27,7607031595808i</v>
      </c>
      <c r="J44" s="168" t="str">
        <f t="shared" si="6"/>
        <v>49,8584451959202-28,4345121824374i</v>
      </c>
      <c r="K44" s="179" t="str">
        <f t="shared" si="7"/>
        <v>0,055+0,9i</v>
      </c>
    </row>
    <row r="45" spans="1:11" x14ac:dyDescent="0.2">
      <c r="A45" s="175">
        <v>34</v>
      </c>
      <c r="B45" s="176">
        <f t="shared" si="4"/>
        <v>170</v>
      </c>
      <c r="C45" s="177">
        <f t="shared" si="0"/>
        <v>0</v>
      </c>
      <c r="D45" s="180">
        <f t="shared" si="8"/>
        <v>49.913445195920197</v>
      </c>
      <c r="E45" s="181">
        <f t="shared" si="9"/>
        <v>-27.5345121824374</v>
      </c>
      <c r="F45" s="176">
        <f t="shared" si="1"/>
        <v>57.00439783429804</v>
      </c>
      <c r="G45" s="176">
        <f t="shared" si="2"/>
        <v>0.67862378374164334</v>
      </c>
      <c r="H45" s="177">
        <f t="shared" si="3"/>
        <v>0.87560691968030235</v>
      </c>
      <c r="I45" s="182" t="str">
        <f t="shared" si="5"/>
        <v>49,9134451959202-27,5345121824374i</v>
      </c>
      <c r="J45" s="168" t="str">
        <f t="shared" si="6"/>
        <v>48,8545562028153-28,1744059412032i</v>
      </c>
      <c r="K45" s="179" t="str">
        <f t="shared" si="7"/>
        <v>0,055+0,9i</v>
      </c>
    </row>
    <row r="46" spans="1:11" x14ac:dyDescent="0.2">
      <c r="A46" s="175">
        <v>35</v>
      </c>
      <c r="B46" s="176">
        <f t="shared" si="4"/>
        <v>175</v>
      </c>
      <c r="C46" s="177">
        <f t="shared" si="0"/>
        <v>0</v>
      </c>
      <c r="D46" s="180">
        <f t="shared" si="8"/>
        <v>48.909556202815303</v>
      </c>
      <c r="E46" s="181">
        <f t="shared" si="9"/>
        <v>-27.274405941203199</v>
      </c>
      <c r="F46" s="176">
        <f t="shared" si="1"/>
        <v>56.000338457922638</v>
      </c>
      <c r="G46" s="176">
        <f t="shared" si="2"/>
        <v>0.66667069592765049</v>
      </c>
      <c r="H46" s="177">
        <f t="shared" si="3"/>
        <v>0.87337965358128711</v>
      </c>
      <c r="I46" s="182" t="str">
        <f t="shared" si="5"/>
        <v>48,9095562028153-27,2744059412032i</v>
      </c>
      <c r="J46" s="168" t="str">
        <f t="shared" si="6"/>
        <v>47,8821344850868-27,8830006250609i</v>
      </c>
      <c r="K46" s="179" t="str">
        <f t="shared" si="7"/>
        <v>0,055+0,9i</v>
      </c>
    </row>
    <row r="47" spans="1:11" x14ac:dyDescent="0.2">
      <c r="A47" s="175">
        <v>36</v>
      </c>
      <c r="B47" s="176">
        <f t="shared" si="4"/>
        <v>180</v>
      </c>
      <c r="C47" s="177">
        <f t="shared" si="0"/>
        <v>0</v>
      </c>
      <c r="D47" s="180">
        <f t="shared" si="8"/>
        <v>47.937134485086801</v>
      </c>
      <c r="E47" s="181">
        <f t="shared" si="9"/>
        <v>-26.9830006250609</v>
      </c>
      <c r="F47" s="176">
        <f t="shared" si="1"/>
        <v>55.009555400615035</v>
      </c>
      <c r="G47" s="176">
        <f t="shared" si="2"/>
        <v>0.65487565953113136</v>
      </c>
      <c r="H47" s="177">
        <f t="shared" si="3"/>
        <v>0.87143286536271181</v>
      </c>
      <c r="I47" s="182" t="str">
        <f t="shared" si="5"/>
        <v>47,9371344850868-26,9830006250609i</v>
      </c>
      <c r="J47" s="168" t="str">
        <f t="shared" si="6"/>
        <v>46,9411959578491-27,5627698405387i</v>
      </c>
      <c r="K47" s="179" t="str">
        <f t="shared" si="7"/>
        <v>0,055+0,9i</v>
      </c>
    </row>
    <row r="48" spans="1:11" x14ac:dyDescent="0.2">
      <c r="A48" s="175">
        <v>37</v>
      </c>
      <c r="B48" s="176">
        <f t="shared" si="4"/>
        <v>185</v>
      </c>
      <c r="C48" s="177">
        <f t="shared" si="0"/>
        <v>0</v>
      </c>
      <c r="D48" s="180">
        <f t="shared" si="8"/>
        <v>46.996195957849103</v>
      </c>
      <c r="E48" s="181">
        <f t="shared" si="9"/>
        <v>-26.662769840538701</v>
      </c>
      <c r="F48" s="176">
        <f t="shared" si="1"/>
        <v>54.032820859900447</v>
      </c>
      <c r="G48" s="176">
        <f t="shared" si="2"/>
        <v>0.64324786737976725</v>
      </c>
      <c r="H48" s="177">
        <f t="shared" si="3"/>
        <v>0.86977128363710043</v>
      </c>
      <c r="I48" s="182" t="str">
        <f t="shared" si="5"/>
        <v>46,9961959578491-26,6627698405387i</v>
      </c>
      <c r="J48" s="168" t="str">
        <f t="shared" si="6"/>
        <v>46,0316274103841-27,2160448014374i</v>
      </c>
      <c r="K48" s="179" t="str">
        <f t="shared" si="7"/>
        <v>0,055+0,9i</v>
      </c>
    </row>
    <row r="49" spans="1:11" x14ac:dyDescent="0.2">
      <c r="A49" s="175">
        <v>38</v>
      </c>
      <c r="B49" s="176">
        <f t="shared" si="4"/>
        <v>190</v>
      </c>
      <c r="C49" s="177">
        <f t="shared" si="0"/>
        <v>0</v>
      </c>
      <c r="D49" s="180">
        <f t="shared" si="8"/>
        <v>46.086627410384096</v>
      </c>
      <c r="E49" s="181">
        <f t="shared" si="9"/>
        <v>-26.3160448014374</v>
      </c>
      <c r="F49" s="176">
        <f t="shared" si="1"/>
        <v>53.070815332485964</v>
      </c>
      <c r="G49" s="176">
        <f t="shared" si="2"/>
        <v>0.63179542062483285</v>
      </c>
      <c r="H49" s="177">
        <f t="shared" si="3"/>
        <v>0.86839870692872756</v>
      </c>
      <c r="I49" s="182" t="str">
        <f t="shared" si="5"/>
        <v>46,0866274103841-26,3160448014374i</v>
      </c>
      <c r="J49" s="168" t="str">
        <f t="shared" si="6"/>
        <v>45,1532048570397-26,8450160400854i</v>
      </c>
      <c r="K49" s="179" t="str">
        <f t="shared" si="7"/>
        <v>0,055+0,9i</v>
      </c>
    </row>
    <row r="50" spans="1:11" x14ac:dyDescent="0.2">
      <c r="A50" s="175">
        <v>39</v>
      </c>
      <c r="B50" s="176">
        <f t="shared" si="4"/>
        <v>195</v>
      </c>
      <c r="C50" s="177">
        <f t="shared" si="0"/>
        <v>0</v>
      </c>
      <c r="D50" s="180">
        <f t="shared" si="8"/>
        <v>45.208204857039703</v>
      </c>
      <c r="E50" s="181">
        <f t="shared" si="9"/>
        <v>-25.945016040085399</v>
      </c>
      <c r="F50" s="176">
        <f t="shared" si="1"/>
        <v>52.124136863034543</v>
      </c>
      <c r="G50" s="176">
        <f t="shared" si="2"/>
        <v>0.62052543884564937</v>
      </c>
      <c r="H50" s="177">
        <f t="shared" si="3"/>
        <v>0.86731805220741232</v>
      </c>
      <c r="I50" s="182" t="str">
        <f t="shared" si="5"/>
        <v>45,2082048570397-25,9450160400854i</v>
      </c>
      <c r="J50" s="168" t="str">
        <f t="shared" si="6"/>
        <v>44,3056102168813-26,4517363414936i</v>
      </c>
      <c r="K50" s="179" t="str">
        <f t="shared" si="7"/>
        <v>0,055+0,9i</v>
      </c>
    </row>
    <row r="51" spans="1:11" x14ac:dyDescent="0.2">
      <c r="A51" s="175">
        <v>40</v>
      </c>
      <c r="B51" s="176">
        <f t="shared" si="4"/>
        <v>200</v>
      </c>
      <c r="C51" s="177">
        <f t="shared" si="0"/>
        <v>0</v>
      </c>
      <c r="D51" s="180">
        <f t="shared" si="8"/>
        <v>44.360610216881298</v>
      </c>
      <c r="E51" s="181">
        <f t="shared" si="9"/>
        <v>-25.551736341493601</v>
      </c>
      <c r="F51" s="176">
        <f t="shared" si="1"/>
        <v>51.193309805865049</v>
      </c>
      <c r="G51" s="176">
        <f t="shared" si="2"/>
        <v>0.60944416435553628</v>
      </c>
      <c r="H51" s="177">
        <f t="shared" si="3"/>
        <v>0.86653139609658625</v>
      </c>
      <c r="I51" s="182" t="str">
        <f t="shared" si="5"/>
        <v>44,3606102168813-25,5517363414936i</v>
      </c>
      <c r="J51" s="168" t="str">
        <f t="shared" si="6"/>
        <v>43,4884463830309-26,0381246389623i</v>
      </c>
      <c r="K51" s="179" t="str">
        <f t="shared" si="7"/>
        <v>0,055+0,9i</v>
      </c>
    </row>
    <row r="52" spans="1:11" x14ac:dyDescent="0.2">
      <c r="A52" s="175">
        <v>41</v>
      </c>
      <c r="B52" s="176">
        <f t="shared" si="4"/>
        <v>205</v>
      </c>
      <c r="C52" s="177">
        <f t="shared" si="0"/>
        <v>0</v>
      </c>
      <c r="D52" s="180">
        <f t="shared" si="8"/>
        <v>43.543446383030897</v>
      </c>
      <c r="E52" s="181">
        <f t="shared" si="9"/>
        <v>-25.138124638962299</v>
      </c>
      <c r="F52" s="176">
        <f t="shared" si="1"/>
        <v>50.278793076961286</v>
      </c>
      <c r="G52" s="176">
        <f t="shared" si="2"/>
        <v>0.59855706044001533</v>
      </c>
      <c r="H52" s="177">
        <f t="shared" si="3"/>
        <v>0.86604000848587093</v>
      </c>
      <c r="I52" s="182" t="str">
        <f t="shared" si="5"/>
        <v>43,5434463830309-25,1381246389623i</v>
      </c>
      <c r="J52" s="168" t="str">
        <f t="shared" si="6"/>
        <v>42,7012507604164-25,6059706446514i</v>
      </c>
      <c r="K52" s="179" t="str">
        <f t="shared" si="7"/>
        <v>0,055+0,9i</v>
      </c>
    </row>
    <row r="53" spans="1:11" x14ac:dyDescent="0.2">
      <c r="A53" s="175">
        <v>42</v>
      </c>
      <c r="B53" s="176">
        <f t="shared" si="4"/>
        <v>210</v>
      </c>
      <c r="C53" s="177">
        <f t="shared" si="0"/>
        <v>0</v>
      </c>
      <c r="D53" s="180">
        <f t="shared" si="8"/>
        <v>42.7562507604164</v>
      </c>
      <c r="E53" s="181">
        <f t="shared" si="9"/>
        <v>-24.705970644651401</v>
      </c>
      <c r="F53" s="176">
        <f t="shared" si="1"/>
        <v>49.380987885845144</v>
      </c>
      <c r="G53" s="176">
        <f t="shared" si="2"/>
        <v>0.58786890340291842</v>
      </c>
      <c r="H53" s="177">
        <f t="shared" si="3"/>
        <v>0.86584437839228212</v>
      </c>
      <c r="I53" s="182" t="str">
        <f t="shared" si="5"/>
        <v>42,7562507604164-24,7059706446514i</v>
      </c>
      <c r="J53" s="168" t="str">
        <f t="shared" si="6"/>
        <v>41,9435073626223-25,1569400210383i</v>
      </c>
      <c r="K53" s="179" t="str">
        <f t="shared" si="7"/>
        <v>0,055+0,9i</v>
      </c>
    </row>
    <row r="54" spans="1:11" x14ac:dyDescent="0.2">
      <c r="A54" s="175">
        <v>43</v>
      </c>
      <c r="B54" s="176">
        <f t="shared" si="4"/>
        <v>215</v>
      </c>
      <c r="C54" s="177">
        <f t="shared" si="0"/>
        <v>0</v>
      </c>
      <c r="D54" s="180">
        <f t="shared" si="8"/>
        <v>41.998507362622298</v>
      </c>
      <c r="E54" s="181">
        <f t="shared" si="9"/>
        <v>-24.2569400210383</v>
      </c>
      <c r="F54" s="176">
        <f t="shared" si="1"/>
        <v>48.500244946520517</v>
      </c>
      <c r="G54" s="176">
        <f t="shared" si="2"/>
        <v>0.57738386841095857</v>
      </c>
      <c r="H54" s="177">
        <f t="shared" si="3"/>
        <v>0.86594423201228254</v>
      </c>
      <c r="I54" s="182" t="str">
        <f t="shared" si="5"/>
        <v>41,9985073626223-24,2569400210383i</v>
      </c>
      <c r="J54" s="168" t="str">
        <f t="shared" si="6"/>
        <v>41,2146575657695-24,6925799287587i</v>
      </c>
      <c r="K54" s="179" t="str">
        <f t="shared" si="7"/>
        <v>0,055+0,9i</v>
      </c>
    </row>
    <row r="55" spans="1:11" x14ac:dyDescent="0.2">
      <c r="A55" s="175">
        <v>44</v>
      </c>
      <c r="B55" s="176">
        <f t="shared" si="4"/>
        <v>220</v>
      </c>
      <c r="C55" s="177">
        <f t="shared" si="0"/>
        <v>0</v>
      </c>
      <c r="D55" s="180">
        <f t="shared" si="8"/>
        <v>41.269657565769499</v>
      </c>
      <c r="E55" s="181">
        <f t="shared" si="9"/>
        <v>-23.792579928758698</v>
      </c>
      <c r="F55" s="176">
        <f t="shared" si="1"/>
        <v>47.636871174146684</v>
      </c>
      <c r="G55" s="176">
        <f t="shared" si="2"/>
        <v>0.56710560921603193</v>
      </c>
      <c r="H55" s="177">
        <f t="shared" si="3"/>
        <v>0.86633854299329438</v>
      </c>
      <c r="I55" s="182" t="str">
        <f t="shared" si="5"/>
        <v>41,2696575657695-23,7925799287587i</v>
      </c>
      <c r="J55" s="168" t="str">
        <f t="shared" si="6"/>
        <v>40,5141096208148-24,2143248129398i</v>
      </c>
      <c r="K55" s="179" t="str">
        <f t="shared" si="7"/>
        <v>0,055+0,9i</v>
      </c>
    </row>
    <row r="56" spans="1:11" x14ac:dyDescent="0.2">
      <c r="A56" s="175">
        <v>45</v>
      </c>
      <c r="B56" s="176">
        <f t="shared" si="4"/>
        <v>225</v>
      </c>
      <c r="C56" s="177">
        <f t="shared" si="0"/>
        <v>0</v>
      </c>
      <c r="D56" s="180">
        <f t="shared" si="8"/>
        <v>40.5691096208148</v>
      </c>
      <c r="E56" s="181">
        <f t="shared" si="9"/>
        <v>-23.314324812939802</v>
      </c>
      <c r="F56" s="176">
        <f t="shared" si="1"/>
        <v>46.791135879661525</v>
      </c>
      <c r="G56" s="176">
        <f t="shared" si="2"/>
        <v>0.55703733190073246</v>
      </c>
      <c r="H56" s="177">
        <f t="shared" si="3"/>
        <v>0.86702553503191993</v>
      </c>
      <c r="I56" s="182" t="str">
        <f t="shared" si="5"/>
        <v>40,5691096208148-23,3143248129398i</v>
      </c>
      <c r="J56" s="168" t="str">
        <f t="shared" si="6"/>
        <v>39,8412470261674-23,7235023137922i</v>
      </c>
      <c r="K56" s="179" t="str">
        <f t="shared" si="7"/>
        <v>0,055+0,9i</v>
      </c>
    </row>
    <row r="57" spans="1:11" x14ac:dyDescent="0.2">
      <c r="A57" s="175">
        <v>46</v>
      </c>
      <c r="B57" s="176">
        <f t="shared" si="4"/>
        <v>230</v>
      </c>
      <c r="C57" s="177">
        <f t="shared" si="0"/>
        <v>0</v>
      </c>
      <c r="D57" s="180">
        <f t="shared" si="8"/>
        <v>39.896247026167401</v>
      </c>
      <c r="E57" s="181">
        <f t="shared" si="9"/>
        <v>-22.823502313792201</v>
      </c>
      <c r="F57" s="176">
        <f t="shared" si="1"/>
        <v>45.963276478517599</v>
      </c>
      <c r="G57" s="176">
        <f t="shared" si="2"/>
        <v>0.54718186283949521</v>
      </c>
      <c r="H57" s="177">
        <f t="shared" si="3"/>
        <v>0.86800267698091937</v>
      </c>
      <c r="I57" s="182" t="str">
        <f t="shared" si="5"/>
        <v>39,8962470261674-22,8235023137922i</v>
      </c>
      <c r="J57" s="168" t="str">
        <f t="shared" si="6"/>
        <v>39,1954358608085-23,2213392080362i</v>
      </c>
      <c r="K57" s="179" t="str">
        <f t="shared" si="7"/>
        <v>0,055+0,9i</v>
      </c>
    </row>
    <row r="58" spans="1:11" x14ac:dyDescent="0.2">
      <c r="A58" s="175">
        <v>47</v>
      </c>
      <c r="B58" s="176">
        <f t="shared" si="4"/>
        <v>235</v>
      </c>
      <c r="C58" s="177">
        <f t="shared" si="0"/>
        <v>0</v>
      </c>
      <c r="D58" s="180">
        <f t="shared" si="8"/>
        <v>39.250435860808501</v>
      </c>
      <c r="E58" s="181">
        <f t="shared" si="9"/>
        <v>-22.3213392080362</v>
      </c>
      <c r="F58" s="176">
        <f t="shared" si="1"/>
        <v>45.153503732309147</v>
      </c>
      <c r="G58" s="176">
        <f t="shared" si="2"/>
        <v>0.53754171109891846</v>
      </c>
      <c r="H58" s="177">
        <f t="shared" si="3"/>
        <v>0.86926667072179464</v>
      </c>
      <c r="I58" s="182" t="str">
        <f t="shared" si="5"/>
        <v>39,2504358608085-22,3213392080362i</v>
      </c>
      <c r="J58" s="168" t="str">
        <f t="shared" si="6"/>
        <v>38,5760311746997-22,7089673058551i</v>
      </c>
      <c r="K58" s="179" t="str">
        <f t="shared" si="7"/>
        <v>0,055+0,9i</v>
      </c>
    </row>
    <row r="59" spans="1:11" x14ac:dyDescent="0.2">
      <c r="A59" s="175">
        <v>48</v>
      </c>
      <c r="B59" s="176">
        <f t="shared" si="4"/>
        <v>240</v>
      </c>
      <c r="C59" s="177">
        <f t="shared" si="0"/>
        <v>0</v>
      </c>
      <c r="D59" s="180">
        <f t="shared" si="8"/>
        <v>38.6310311746997</v>
      </c>
      <c r="E59" s="181">
        <f t="shared" si="9"/>
        <v>-21.808967305855099</v>
      </c>
      <c r="F59" s="176">
        <f t="shared" si="1"/>
        <v>44.362006543533134</v>
      </c>
      <c r="G59" s="176">
        <f t="shared" si="2"/>
        <v>0.52811912551825158</v>
      </c>
      <c r="H59" s="177">
        <f t="shared" si="3"/>
        <v>0.87081343213793683</v>
      </c>
      <c r="I59" s="182" t="str">
        <f t="shared" si="5"/>
        <v>38,6310311746997-21,8089673058551i</v>
      </c>
      <c r="J59" s="168" t="str">
        <f t="shared" si="6"/>
        <v>37,9823825287294-22,1874292437022i</v>
      </c>
      <c r="K59" s="179" t="str">
        <f t="shared" si="7"/>
        <v>0,055+0,9i</v>
      </c>
    </row>
    <row r="60" spans="1:11" x14ac:dyDescent="0.2">
      <c r="A60" s="175">
        <v>49</v>
      </c>
      <c r="B60" s="176">
        <f t="shared" si="4"/>
        <v>245</v>
      </c>
      <c r="C60" s="177">
        <f t="shared" si="0"/>
        <v>0</v>
      </c>
      <c r="D60" s="180">
        <f t="shared" si="8"/>
        <v>38.037382528729403</v>
      </c>
      <c r="E60" s="181">
        <f t="shared" si="9"/>
        <v>-21.287429243702199</v>
      </c>
      <c r="F60" s="176">
        <f t="shared" si="1"/>
        <v>43.588956324308988</v>
      </c>
      <c r="G60" s="176">
        <f t="shared" si="2"/>
        <v>0.51891614671796416</v>
      </c>
      <c r="H60" s="177">
        <f t="shared" si="3"/>
        <v>0.87263806560829393</v>
      </c>
      <c r="I60" s="182" t="str">
        <f t="shared" si="5"/>
        <v>38,0373825287294-21,2874292437022i</v>
      </c>
      <c r="J60" s="168" t="str">
        <f t="shared" si="6"/>
        <v>37,4138387711055-21,65768412665i</v>
      </c>
      <c r="K60" s="179" t="str">
        <f t="shared" si="7"/>
        <v>0,055+0,9i</v>
      </c>
    </row>
    <row r="61" spans="1:11" x14ac:dyDescent="0.2">
      <c r="A61" s="175">
        <v>50</v>
      </c>
      <c r="B61" s="176">
        <f t="shared" si="4"/>
        <v>250</v>
      </c>
      <c r="C61" s="177">
        <f t="shared" si="0"/>
        <v>0</v>
      </c>
      <c r="D61" s="180">
        <f t="shared" si="8"/>
        <v>37.468838771105503</v>
      </c>
      <c r="E61" s="181">
        <f t="shared" si="9"/>
        <v>-20.757684126649998</v>
      </c>
      <c r="F61" s="176">
        <f t="shared" si="1"/>
        <v>42.834510959702534</v>
      </c>
      <c r="G61" s="176">
        <f t="shared" si="2"/>
        <v>0.50993465428217299</v>
      </c>
      <c r="H61" s="177">
        <f t="shared" si="3"/>
        <v>0.87473483253620199</v>
      </c>
      <c r="I61" s="182" t="str">
        <f t="shared" si="5"/>
        <v>37,4688387711055-20,75768412665i</v>
      </c>
      <c r="J61" s="168" t="str">
        <f t="shared" si="6"/>
        <v>36,8697521313033-21,1206129853024i</v>
      </c>
      <c r="K61" s="179" t="str">
        <f t="shared" si="7"/>
        <v>0,055+0,9i</v>
      </c>
    </row>
    <row r="62" spans="1:11" x14ac:dyDescent="0.2">
      <c r="A62" s="175">
        <v>51</v>
      </c>
      <c r="B62" s="176">
        <f t="shared" si="4"/>
        <v>255</v>
      </c>
      <c r="C62" s="177">
        <f t="shared" si="0"/>
        <v>0</v>
      </c>
      <c r="D62" s="180">
        <f t="shared" si="8"/>
        <v>36.9247521313033</v>
      </c>
      <c r="E62" s="181">
        <f t="shared" si="9"/>
        <v>-20.220612985302399</v>
      </c>
      <c r="F62" s="176">
        <f t="shared" si="1"/>
        <v>42.09881838555053</v>
      </c>
      <c r="G62" s="176">
        <f t="shared" si="2"/>
        <v>0.50117640935179197</v>
      </c>
      <c r="H62" s="177">
        <f t="shared" si="3"/>
        <v>0.87709711453509309</v>
      </c>
      <c r="I62" s="182" t="str">
        <f t="shared" si="5"/>
        <v>36,9247521313033-20,2206129853024i</v>
      </c>
      <c r="J62" s="168" t="str">
        <f t="shared" si="6"/>
        <v>36,3494817066605-20,5770240218111i</v>
      </c>
      <c r="K62" s="179" t="str">
        <f t="shared" si="7"/>
        <v>0,055+0,9i</v>
      </c>
    </row>
    <row r="63" spans="1:11" x14ac:dyDescent="0.2">
      <c r="A63" s="175">
        <v>52</v>
      </c>
      <c r="B63" s="176">
        <f t="shared" si="4"/>
        <v>260</v>
      </c>
      <c r="C63" s="177">
        <f t="shared" si="0"/>
        <v>0</v>
      </c>
      <c r="D63" s="180">
        <f t="shared" si="8"/>
        <v>36.404481706660498</v>
      </c>
      <c r="E63" s="181">
        <f t="shared" si="9"/>
        <v>-19.6770240218111</v>
      </c>
      <c r="F63" s="176">
        <f t="shared" si="1"/>
        <v>41.382019799491545</v>
      </c>
      <c r="G63" s="176">
        <f t="shared" si="2"/>
        <v>0.49264309285108981</v>
      </c>
      <c r="H63" s="177">
        <f t="shared" si="3"/>
        <v>0.87971737201449496</v>
      </c>
      <c r="I63" s="182" t="str">
        <f t="shared" si="5"/>
        <v>36,4044817066605-19,6770240218111i</v>
      </c>
      <c r="J63" s="168" t="str">
        <f t="shared" si="6"/>
        <v>35,852396410642-20,0276576274615i</v>
      </c>
      <c r="K63" s="179" t="str">
        <f t="shared" si="7"/>
        <v>0,055+0,9i</v>
      </c>
    </row>
    <row r="64" spans="1:11" x14ac:dyDescent="0.2">
      <c r="A64" s="175">
        <v>53</v>
      </c>
      <c r="B64" s="176">
        <f t="shared" si="4"/>
        <v>265</v>
      </c>
      <c r="C64" s="177">
        <f t="shared" si="0"/>
        <v>0</v>
      </c>
      <c r="D64" s="180">
        <f t="shared" si="8"/>
        <v>35.907396410642001</v>
      </c>
      <c r="E64" s="181">
        <f t="shared" si="9"/>
        <v>-19.127657627461499</v>
      </c>
      <c r="F64" s="176">
        <f t="shared" si="1"/>
        <v>40.684252522374948</v>
      </c>
      <c r="G64" s="176">
        <f t="shared" si="2"/>
        <v>0.48433633955208272</v>
      </c>
      <c r="H64" s="177">
        <f t="shared" si="3"/>
        <v>0.88258709904757771</v>
      </c>
      <c r="I64" s="182" t="str">
        <f t="shared" si="5"/>
        <v>35,907396410642-19,1276576274615i</v>
      </c>
      <c r="J64" s="168" t="str">
        <f t="shared" si="6"/>
        <v>35,3778774458474-19,4731911608376i</v>
      </c>
      <c r="K64" s="179" t="str">
        <f t="shared" si="7"/>
        <v>0,055+0,9i</v>
      </c>
    </row>
    <row r="65" spans="1:11" x14ac:dyDescent="0.2">
      <c r="A65" s="175">
        <v>54</v>
      </c>
      <c r="B65" s="176">
        <f t="shared" si="4"/>
        <v>270</v>
      </c>
      <c r="C65" s="177">
        <f t="shared" si="0"/>
        <v>0</v>
      </c>
      <c r="D65" s="180">
        <f t="shared" si="8"/>
        <v>35.432877445847403</v>
      </c>
      <c r="E65" s="181">
        <f t="shared" si="9"/>
        <v>-18.573191160837599</v>
      </c>
      <c r="F65" s="176">
        <f t="shared" si="1"/>
        <v>40.005652525480166</v>
      </c>
      <c r="G65" s="176">
        <f t="shared" si="2"/>
        <v>0.47625776816047816</v>
      </c>
      <c r="H65" s="177">
        <f t="shared" si="3"/>
        <v>0.88569677555639681</v>
      </c>
      <c r="I65" s="182" t="str">
        <f t="shared" si="5"/>
        <v>35,4328774458474-18,5731911608376i</v>
      </c>
      <c r="J65" s="168" t="str">
        <f t="shared" si="6"/>
        <v>34,9253203590782-18,914243480911i</v>
      </c>
      <c r="K65" s="179" t="str">
        <f t="shared" si="7"/>
        <v>0,055+0,9i</v>
      </c>
    </row>
    <row r="66" spans="1:11" x14ac:dyDescent="0.2">
      <c r="A66" s="175">
        <v>55</v>
      </c>
      <c r="B66" s="176">
        <f t="shared" si="4"/>
        <v>275</v>
      </c>
      <c r="C66" s="177">
        <f t="shared" si="0"/>
        <v>0</v>
      </c>
      <c r="D66" s="180">
        <f t="shared" si="8"/>
        <v>34.980320359078199</v>
      </c>
      <c r="E66" s="181">
        <f t="shared" si="9"/>
        <v>-18.014243480910999</v>
      </c>
      <c r="F66" s="176">
        <f t="shared" si="1"/>
        <v>39.346356637092654</v>
      </c>
      <c r="G66" s="176">
        <f t="shared" si="2"/>
        <v>0.46840900758443638</v>
      </c>
      <c r="H66" s="177">
        <f t="shared" si="3"/>
        <v>0.88903581802289411</v>
      </c>
      <c r="I66" s="182" t="str">
        <f t="shared" si="5"/>
        <v>34,9803203590782-18,014243480911i</v>
      </c>
      <c r="J66" s="168" t="str">
        <f t="shared" si="6"/>
        <v>34,4941367303093-18,3513792337107i</v>
      </c>
      <c r="K66" s="179" t="str">
        <f t="shared" si="7"/>
        <v>0,055+0,9i</v>
      </c>
    </row>
    <row r="67" spans="1:11" x14ac:dyDescent="0.2">
      <c r="A67" s="175">
        <v>56</v>
      </c>
      <c r="B67" s="176">
        <f t="shared" si="4"/>
        <v>280</v>
      </c>
      <c r="C67" s="177">
        <f t="shared" si="0"/>
        <v>0</v>
      </c>
      <c r="D67" s="180">
        <f t="shared" si="8"/>
        <v>34.5491367303093</v>
      </c>
      <c r="E67" s="181">
        <f t="shared" si="9"/>
        <v>-17.4513792337107</v>
      </c>
      <c r="F67" s="176">
        <f t="shared" si="1"/>
        <v>38.706504440060151</v>
      </c>
      <c r="G67" s="176">
        <f t="shared" si="2"/>
        <v>0.46079171952452558</v>
      </c>
      <c r="H67" s="177">
        <f t="shared" si="3"/>
        <v>0.89259253012142081</v>
      </c>
      <c r="I67" s="182" t="str">
        <f t="shared" si="5"/>
        <v>34,5491367303093-17,4513792337107i</v>
      </c>
      <c r="J67" s="168" t="str">
        <f t="shared" si="6"/>
        <v>34,0837555422516-17,7851128946598i</v>
      </c>
      <c r="K67" s="179" t="str">
        <f t="shared" si="7"/>
        <v>0,055+0,9i</v>
      </c>
    </row>
    <row r="68" spans="1:11" x14ac:dyDescent="0.2">
      <c r="A68" s="175">
        <v>57</v>
      </c>
      <c r="B68" s="176">
        <f t="shared" si="4"/>
        <v>285</v>
      </c>
      <c r="C68" s="177">
        <f t="shared" si="0"/>
        <v>0</v>
      </c>
      <c r="D68" s="180">
        <f t="shared" si="8"/>
        <v>34.138755542251602</v>
      </c>
      <c r="E68" s="181">
        <f t="shared" si="9"/>
        <v>-16.885112894659802</v>
      </c>
      <c r="F68" s="176">
        <f t="shared" si="1"/>
        <v>38.086239870050463</v>
      </c>
      <c r="G68" s="176">
        <f t="shared" si="2"/>
        <v>0.45340761750060077</v>
      </c>
      <c r="H68" s="177">
        <f t="shared" si="3"/>
        <v>0.89635405486948572</v>
      </c>
      <c r="I68" s="182" t="str">
        <f t="shared" si="5"/>
        <v>34,1387555422516-16,8851128946598i</v>
      </c>
      <c r="J68" s="168" t="str">
        <f t="shared" si="6"/>
        <v>33,6936242723898-17,2159125713579i</v>
      </c>
      <c r="K68" s="179" t="str">
        <f t="shared" si="7"/>
        <v>0,055+0,9i</v>
      </c>
    </row>
    <row r="69" spans="1:11" x14ac:dyDescent="0.2">
      <c r="A69" s="175">
        <v>58</v>
      </c>
      <c r="B69" s="176">
        <f t="shared" si="4"/>
        <v>290</v>
      </c>
      <c r="C69" s="177">
        <f t="shared" si="0"/>
        <v>0</v>
      </c>
      <c r="D69" s="180">
        <f t="shared" si="8"/>
        <v>33.748624272389797</v>
      </c>
      <c r="E69" s="181">
        <f t="shared" si="9"/>
        <v>-16.315912571357899</v>
      </c>
      <c r="F69" s="176">
        <f t="shared" si="1"/>
        <v>37.485712522441567</v>
      </c>
      <c r="G69" s="176">
        <f t="shared" si="2"/>
        <v>0.44625848241001864</v>
      </c>
      <c r="H69" s="177">
        <f t="shared" si="3"/>
        <v>0.90030633010338301</v>
      </c>
      <c r="I69" s="182" t="str">
        <f t="shared" si="5"/>
        <v>33,7486242723898-16,3159125713579i</v>
      </c>
      <c r="J69" s="168" t="str">
        <f t="shared" si="6"/>
        <v>33,3232097449331-16,6442035736531i</v>
      </c>
      <c r="K69" s="179" t="str">
        <f t="shared" si="7"/>
        <v>0,055+0,9i</v>
      </c>
    </row>
    <row r="70" spans="1:11" x14ac:dyDescent="0.2">
      <c r="A70" s="175">
        <v>59</v>
      </c>
      <c r="B70" s="176">
        <f t="shared" si="4"/>
        <v>295</v>
      </c>
      <c r="C70" s="177">
        <f t="shared" si="0"/>
        <v>0</v>
      </c>
      <c r="D70" s="180">
        <f t="shared" si="8"/>
        <v>33.378209744933102</v>
      </c>
      <c r="E70" s="181">
        <f t="shared" si="9"/>
        <v>-15.744203573653101</v>
      </c>
      <c r="F70" s="176">
        <f t="shared" si="1"/>
        <v>36.905078674152399</v>
      </c>
      <c r="G70" s="176">
        <f t="shared" si="2"/>
        <v>0.43934617469229048</v>
      </c>
      <c r="H70" s="177">
        <f t="shared" si="3"/>
        <v>0.9044340492982218</v>
      </c>
      <c r="I70" s="182" t="str">
        <f t="shared" si="5"/>
        <v>33,3782097449331-15,7442035736531i</v>
      </c>
      <c r="J70" s="168" t="str">
        <f t="shared" si="6"/>
        <v>32,9719987760322-16,0703717593959i</v>
      </c>
      <c r="K70" s="179" t="str">
        <f t="shared" si="7"/>
        <v>0,055+0,9i</v>
      </c>
    </row>
    <row r="71" spans="1:11" ht="17" thickBot="1" x14ac:dyDescent="0.25">
      <c r="A71" s="183">
        <v>60</v>
      </c>
      <c r="B71" s="184">
        <f t="shared" si="4"/>
        <v>300</v>
      </c>
      <c r="C71" s="185">
        <f t="shared" si="0"/>
        <v>0</v>
      </c>
      <c r="D71" s="186">
        <f t="shared" si="8"/>
        <v>33.026998776032201</v>
      </c>
      <c r="E71" s="187">
        <f t="shared" si="9"/>
        <v>-15.1703717593959</v>
      </c>
      <c r="F71" s="184">
        <f t="shared" si="1"/>
        <v>36.344502025345037</v>
      </c>
      <c r="G71" s="184">
        <f t="shared" si="2"/>
        <v>0.4326726431588695</v>
      </c>
      <c r="H71" s="185">
        <f t="shared" si="3"/>
        <v>0.90872062995939928</v>
      </c>
      <c r="I71" s="188" t="str">
        <f t="shared" si="5"/>
        <v>33,0269987760322-15,1703717593959i</v>
      </c>
      <c r="J71" s="189" t="str">
        <f t="shared" si="6"/>
        <v>32,6394986418869-15,4947666653865i</v>
      </c>
      <c r="K71" s="190" t="str">
        <f t="shared" si="7"/>
        <v>0,055+0,9i</v>
      </c>
    </row>
  </sheetData>
  <mergeCells count="3">
    <mergeCell ref="A9:C9"/>
    <mergeCell ref="D9:H9"/>
    <mergeCell ref="I9:K9"/>
  </mergeCells>
  <pageMargins left="0.75" right="0.75" top="1" bottom="1" header="0.5" footer="0.5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Leistung</vt:lpstr>
      <vt:lpstr>Verbraucher|Erzeuger_an_Leitung</vt:lpstr>
      <vt:lpstr>Reflexionen_an_Leitungen</vt:lpstr>
      <vt:lpstr>Leitungseigenschaften_bis_380kV</vt:lpstr>
      <vt:lpstr>Impedanz längs der Leitung</vt:lpstr>
      <vt:lpstr>Kabelstrecke</vt:lpstr>
    </vt:vector>
  </TitlesOfParts>
  <Company>DHBW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 Rupp</dc:creator>
  <dc:description/>
  <cp:lastModifiedBy>Stephan</cp:lastModifiedBy>
  <cp:revision>0</cp:revision>
  <dcterms:created xsi:type="dcterms:W3CDTF">2014-06-21T13:14:59Z</dcterms:created>
  <dcterms:modified xsi:type="dcterms:W3CDTF">2023-07-07T13:09:26Z</dcterms:modified>
  <dc:language>de-DE</dc:language>
</cp:coreProperties>
</file>